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70" windowWidth="14940" windowHeight="9150" activeTab="5"/>
  </bookViews>
  <sheets>
    <sheet name="General Info" sheetId="1" r:id="rId1"/>
    <sheet name="water" sheetId="2" r:id="rId2"/>
    <sheet name="sewerage" sheetId="3" r:id="rId3"/>
    <sheet name="swm" sheetId="4" r:id="rId4"/>
    <sheet name="Equity Related Information" sheetId="5" r:id="rId5"/>
    <sheet name="Reliability" sheetId="6" r:id="rId6"/>
  </sheets>
  <definedNames>
    <definedName name="_2009EQ">'Equity Related Information'!$D$7:$D$238</definedName>
    <definedName name="_2009Gen">'General Info'!$D$6:$D$25</definedName>
    <definedName name="_2009SWM">swm!$D$7:$D$144</definedName>
    <definedName name="_2009W">water!$D$7:$D$225</definedName>
    <definedName name="_2009WW">sewerage!$D$7:$D$127</definedName>
    <definedName name="_2010EQ">'Equity Related Information'!$E$7:$E$238</definedName>
    <definedName name="_2010Gen">'General Info'!$E$6:$E$25</definedName>
    <definedName name="_2010SWM">swm!$E$7:$E$144</definedName>
    <definedName name="_2010W">water!$E$7:$E$225</definedName>
    <definedName name="_2010WW">sewerage!$E$7:$E$127</definedName>
    <definedName name="_2011EQ">'Equity Related Information'!$F$7:$F$238</definedName>
    <definedName name="_2011Gen">'General Info'!$F$6:$F$25</definedName>
    <definedName name="_2011SWM">swm!$F$7:$F$144</definedName>
    <definedName name="_2011W">water!$F$7:$F$225</definedName>
    <definedName name="_2011WW">sewerage!$F$7:$F$127</definedName>
    <definedName name="_2012EQ">'Equity Related Information'!$G$7:$G$238</definedName>
    <definedName name="_2012Gen">'General Info'!$G$6:$G$25</definedName>
    <definedName name="_2012SWM">swm!$G$7:$G$144</definedName>
    <definedName name="_2012W">water!$G$7:$G$225</definedName>
    <definedName name="_2012WW">sewerage!$G$7:$G$127</definedName>
    <definedName name="_2013EQ">'Equity Related Information'!$H$7:$H$238</definedName>
    <definedName name="_2013Gen">'General Info'!$H$6:$H$25</definedName>
    <definedName name="_2013SWM">swm!$H$7:$H$144</definedName>
    <definedName name="_2013W">water!$H$7:$H$225</definedName>
    <definedName name="_2013WW">sewerage!$H$7:$H$127</definedName>
    <definedName name="_2014EQ">'Equity Related Information'!$I$7:$I$238</definedName>
    <definedName name="_2014Gen">'General Info'!$I$6:$I$25</definedName>
    <definedName name="_2014SWM">swm!$I$7:$I$144</definedName>
    <definedName name="_2014W">water!$I$7:$I$225</definedName>
    <definedName name="_2014WW">sewerage!$I$7:$I$127</definedName>
    <definedName name="_2015EQ">'Equity Related Information'!$J$7:$J$238</definedName>
    <definedName name="_2015Gen">'General Info'!$J$6:$J$25</definedName>
    <definedName name="_2015SWM">swm!$J$7:$J$144</definedName>
    <definedName name="_2015W">water!$J$7:$J$225</definedName>
    <definedName name="_2015WW">sewerage!$J$7:$J$127</definedName>
    <definedName name="_ActualSewageSecondaryTreated">sewerage!$D$37:$K$37</definedName>
    <definedName name="_AggPrimarySTPinstallCap">sewerage!$D$41:$K$41</definedName>
    <definedName name="_AggSecondarySTPinstallCap">sewerage!$D$42:$K$42</definedName>
    <definedName name="_AggSTPinstallCap">sewerage!$D$43:$K$43</definedName>
    <definedName name="_AreaJuris">'General Info'!$D$22:$K$22</definedName>
    <definedName name="_AreaJuris2013">'General Info'!$H$22</definedName>
    <definedName name="_AvgDailySupplyHrs">water!$D$71:$K$71</definedName>
    <definedName name="_AvgMonthlySupplyDays">water!$D$70:$K$70</definedName>
    <definedName name="_ClosedDrainsAreaCoverage">'Equity Related Information'!$D$103:$K$103</definedName>
    <definedName name="_ClosedDrainsLen">'Equity Related Information'!$D$102:$K$102</definedName>
    <definedName name="_CommunToiletFuncSeatsCity">'Equity Related Information'!$D$115:$K$115</definedName>
    <definedName name="_CommunToiletFuncSeatsOnSewerDisposal">'Equity Related Information'!$D$116:$K$116</definedName>
    <definedName name="_CommunToiletHH">sewerage!$D$9:$K$9</definedName>
    <definedName name="_CommunToiletSeatsCity">'Equity Related Information'!$D$114:$K$114</definedName>
    <definedName name="_CommunToiletSeatsHHSlum">'Equity Related Information'!$D$41:$K$41</definedName>
    <definedName name="_ConxnsComm_Inst">water!$D$60:$K$60</definedName>
    <definedName name="_ConxnsDomesticNonSlum">water!$D$23:$K$23</definedName>
    <definedName name="_ConxnsDomesticSlum">'Equity Related Information'!$D$33:$K$33</definedName>
    <definedName name="_ConxnsHHDomesticNonSlum">water!$D$29:$K$29</definedName>
    <definedName name="_ConxnsMeteredFuncDomesticApart">water!$D$11:$K$11</definedName>
    <definedName name="_ConxnsMeteredFuncDomesticNonSlum">water!$D$7:$K$7</definedName>
    <definedName name="_ConxnsMeteredFuncDomesticSociety">water!$D$15:$K$15</definedName>
    <definedName name="_ConxnsMeteredFuncOther">water!$D$19:$K$19</definedName>
    <definedName name="_ConxnsMeteredNonFuncDomesticApart">water!$D$12:$K$12</definedName>
    <definedName name="_ConxnsMeteredNonFuncDomesticNonSlum">water!$D$8:$K$8</definedName>
    <definedName name="_ConxnsMeteredNonFuncDomesticSociety">water!$D$16:$K$16</definedName>
    <definedName name="_ConxnsMeteredNonFuncOther">water!$D$20:$K$20</definedName>
    <definedName name="_ConxnsMiscPublic">water!$D$64:$K$64</definedName>
    <definedName name="_ConxnsUnMeteredDomesticApart">water!$D$13:$K$13</definedName>
    <definedName name="_ConxnsUnMeteredDomesticNonSlum">water!$D$9:$K$9</definedName>
    <definedName name="_ConxnsUnMeteredDomesticSociety">water!$D$17:$K$17</definedName>
    <definedName name="_ConxnsUnMeteredOther">water!$D$21:$K$21</definedName>
    <definedName name="_DistribNtwrkCoverage">'Equity Related Information'!$D$55:$K$55</definedName>
    <definedName name="_DistribNtwrkInternalSlum">'Equity Related Information'!$D$32:$K$32</definedName>
    <definedName name="_DistribNtwrkLen">'Equity Related Information'!$D$53:$K$53</definedName>
    <definedName name="_FloodingFreq">sewerage!$D$91:$K$91</definedName>
    <definedName name="_FloodingPoints">sewerage!$D$90:$K$90</definedName>
    <definedName name="_GreyWaterTreatedReused">'Equity Related Information'!$D$168:$K$168</definedName>
    <definedName name="_GreyWaterTreatmentFuncCap">'Equity Related Information'!$D$167:$K$167</definedName>
    <definedName name="_GreyWaterTreatmentInstalledCap">'Equity Related Information'!$D$166:$K$166</definedName>
    <definedName name="_GreyWaterTreatmentType">'Equity Related Information'!$D$164:$K$164</definedName>
    <definedName name="_hasSeptageTrtmntFacility">'Equity Related Information'!$D$153:$K$153</definedName>
    <definedName name="_HHCensus2001">'General Info'!$D$9</definedName>
    <definedName name="_HHCensus2011">'General Info'!$F$9</definedName>
    <definedName name="_HHConxnsUnauthorised">'Equity Related Information'!$D$89:$K$89</definedName>
    <definedName name="_HHIL">'Equity Related Information'!$D$110:$K$110</definedName>
    <definedName name="_HHILSlum">'Equity Related Information'!$D$38:$K$38</definedName>
    <definedName name="_HHSlumCensus2001">'General Info'!$D$15</definedName>
    <definedName name="_HHSlumCensus2011">'General Info'!$F$15</definedName>
    <definedName name="_InternalSeweredSlums">'Equity Related Information'!$D$42:$K$42</definedName>
    <definedName name="_NewConxnChrg.50Comm">water!$D$147:$K$147</definedName>
    <definedName name="_NewConxnChrg.50DomesticNonSlum">water!$D$144:$K$144</definedName>
    <definedName name="_NewConxnChrg.50DomesticSlum">water!$D$145:$K$145</definedName>
    <definedName name="_NewConxnChrg.50Ind">water!$D$148:$K$148</definedName>
    <definedName name="_NewConxnChrg.50Inst">water!$D$146:$K$146</definedName>
    <definedName name="_NonResiProp">'General Info'!$D$25:$K$25</definedName>
    <definedName name="_OpenDrainsAreaCoverage">'Equity Related Information'!$D$106:$K$106</definedName>
    <definedName name="_OpenDrainsLen">'Equity Related Information'!$D$105:$K$105</definedName>
    <definedName name="_PopCensus2001">'General Info'!$D$6</definedName>
    <definedName name="_PopCensus2011">'General Info'!$F$6</definedName>
    <definedName name="_PopSlumCensus2001">'Equity Related Information'!$D$8</definedName>
    <definedName name="_PopSlumCensus2011">'Equity Related Information'!$F$8</definedName>
    <definedName name="_Properties">'General Info'!$D$18:$K$18</definedName>
    <definedName name="_PropertiesOnsiteDisposal">sewerage!$D$14:$K$14</definedName>
    <definedName name="_PropertiesSewerConxn">sewerage!$D$13:$K$13</definedName>
    <definedName name="_PvtEmptierTrucks">sewerage!$D$108:$K$108</definedName>
    <definedName name="_QtyTreatedSewageReused">sewerage!$D$48:$K$48</definedName>
    <definedName name="_SeptageTreatedReusedQuantityYearly">'Equity Related Information'!$D$158:$K$158</definedName>
    <definedName name="_SeptageTrtmntFacilityInstallCap">'Equity Related Information'!$D$156:$K$156</definedName>
    <definedName name="_SeptageTrtmntFacilityQuantityYearly">'Equity Related Information'!$D$157:$K$157</definedName>
    <definedName name="_SeptageTrtmntFacilityType">'Equity Related Information'!$D$154:$K$154</definedName>
    <definedName name="_SepticDrainsSettlSewerHHNonSlum">'Equity Related Information'!$D$138:$K$138</definedName>
    <definedName name="_SepticSoakpitHHNonSlum">'Equity Related Information'!$D$139:$K$139</definedName>
    <definedName name="_SepticTankProperties">'Equity Related Information'!$D$135:$K$135</definedName>
    <definedName name="_SewageGen">sewerage!$D$34:$K$34</definedName>
    <definedName name="_SewerArea">'Equity Related Information'!$D$100:$K$100</definedName>
    <definedName name="_SewerConxnNonResi">'Equity Related Information'!$D$113:$K$113</definedName>
    <definedName name="_SewerConxnResi">'Equity Related Information'!$D$112:$K$112</definedName>
    <definedName name="_SewerConxnSlum">'Equity Related Information'!$D$43:$K$43</definedName>
    <definedName name="_SewerConxnUnauthorEst">'Equity Related Information'!$D$92:$K$92</definedName>
    <definedName name="_SewerLen">'Equity Related Information'!$D$99:$K$99</definedName>
    <definedName name="_Slums">'General Info'!$D$14:$K$14</definedName>
    <definedName name="_SoakPitProperties">'Equity Related Information'!$D$136:$K$136</definedName>
    <definedName name="_SrcBulkRawDrawal">'Equity Related Information'!$D$61:$K$61</definedName>
    <definedName name="_SrcBulkTreatedDrawal">'Equity Related Information'!$D$62:$K$62</definedName>
    <definedName name="_SrcGroundProdxn">water!$D$36:$K$36</definedName>
    <definedName name="_SrcNonULBDrawal">sewerage!$D$24:$K$24</definedName>
    <definedName name="_SrcOtherProdxn">water!$D$37:$K$37</definedName>
    <definedName name="_SrcSurfaceOtherDrawal">'Equity Related Information'!$D$63:$K$63</definedName>
    <definedName name="_SrcSurfaceOwnDrawal">'Equity Related Information'!$D$60:$K$60</definedName>
    <definedName name="_SrcSurfaceProdxn">water!$D$34:$K$34</definedName>
    <definedName name="_SWM3wCap">swm!$D$50:$K$50</definedName>
    <definedName name="_SWM3wNum">swm!$D$49:$K$49</definedName>
    <definedName name="_SWM3wTrips">swm!$D$51:$K$51</definedName>
    <definedName name="_SWMComplaintRcvdYearly">swm!$D$85:$K$85</definedName>
    <definedName name="_SWMComplaintResolvedYearly">swm!$D$86:$K$86</definedName>
    <definedName name="_SWMDumperCap">swm!$D$34:$K$34</definedName>
    <definedName name="_SWMDumperNum">swm!$D$33:$K$33</definedName>
    <definedName name="_SWMDumperTrips">swm!$D$35:$K$35</definedName>
    <definedName name="_SWMFreqEmptySecBin">'Equity Related Information'!$D$185:$K$185</definedName>
    <definedName name="_SWMGeneratedMonthlyEst">swm!$D$23:$K$23</definedName>
    <definedName name="_SWMMiniLorCap">swm!$D$38:$K$38</definedName>
    <definedName name="_SWMMiniLorNum">swm!$D$37:$K$37</definedName>
    <definedName name="_SWMMiniLorTrips">swm!$D$39:$K$39</definedName>
    <definedName name="_SWMPriColxnD2DComm">swm!$D$9:$K$9</definedName>
    <definedName name="_SWMPriColxnD2DHHNonSlum">swm!$D$7:$K$7</definedName>
    <definedName name="_SWMPriColxnD2DHHSlum">'Equity Related Information'!$D$45:$K$45</definedName>
    <definedName name="_SWMPriColxnD2DHotelRest">swm!$D$8:$K$8</definedName>
    <definedName name="_SWMPriColxnD2DOther">swm!$D$10:$K$10</definedName>
    <definedName name="_SWMPriColxnD2DTotal">swm!$D$12:$K$12</definedName>
    <definedName name="_SWMPriColxnD2DTotalEstIfTypeUnknown">swm!$D$11:$K$11</definedName>
    <definedName name="_SWMProcessed">swm!$D$76:$K$76</definedName>
    <definedName name="_SWMProcessingInstalCapMTperMonth">swm!$D$72:$K$72</definedName>
    <definedName name="_SWMProcessingTotalInput">swm!$D$73:$K$73</definedName>
    <definedName name="_SWMPropTax_pc">swm!$D$143:$K$143</definedName>
    <definedName name="_SWMQtyRcvdSeg4Processing">swm!$D$57:$K$57</definedName>
    <definedName name="_SWMrecyclerTakeaway">swm!$D$58:$K$58</definedName>
    <definedName name="_SWMsecondaryColxnBins">'Equity Related Information'!$D$183:$K$183</definedName>
    <definedName name="_SWMsecondaryColxnBinsAggCapacity">'Equity Related Information'!$D$184:$K$184</definedName>
    <definedName name="_SWMTipperCap">swm!$D$46:$K$46</definedName>
    <definedName name="_SWMTipperNum">swm!$D$45:$K$45</definedName>
    <definedName name="_SWMTipperTrips">swm!$D$47:$K$47</definedName>
    <definedName name="_SWMTrailerCap">swm!$D$42:$K$42</definedName>
    <definedName name="_SWMTrailerNum">swm!$D$41:$K$41</definedName>
    <definedName name="_SWMTrailerTrips">swm!$D$43:$K$43</definedName>
    <definedName name="_SWMTruckCap">swm!$D$30:$K$30</definedName>
    <definedName name="_SWMTruckNum">swm!$D$29:$K$29</definedName>
    <definedName name="_SWMTruckTrips">swm!$D$31:$K$31</definedName>
    <definedName name="_TariffMonthly.50Comm">water!$D$153:$K$153</definedName>
    <definedName name="_TariffMonthly.50DomesticNonSlum">water!$D$150:$K$150</definedName>
    <definedName name="_TariffMonthly.50DomesticSlum">water!$D$151:$K$151</definedName>
    <definedName name="_TariffMonthly.50Ind">water!$D$154:$K$154</definedName>
    <definedName name="_TariffMonthly.50Inst">water!$D$152:$K$152</definedName>
    <definedName name="_TariffRsPerKLComm">water!$D$159:$K$159</definedName>
    <definedName name="_TariffRsPerKLDomesticNonSlum">water!$D$156:$K$156</definedName>
    <definedName name="_TariffRsPerKLDomesticSlum">water!$D$157:$K$157</definedName>
    <definedName name="_TariffRsPerKLInd">water!$D$160:$K$160</definedName>
    <definedName name="_TariffRsPerKLInst">water!$D$158:$K$158</definedName>
    <definedName name="_TransmissionMainLen">'Equity Related Information'!$D$51:$K$51</definedName>
    <definedName name="_TreatedGrndWater">'Equity Related Information'!$D$59:$K$59</definedName>
    <definedName name="_TreatedSeptageSamplesPassedYearly">'Equity Related Information'!$D$160:$K$160</definedName>
    <definedName name="_TreatedSeptageSamplesTestedYearly">'Equity Related Information'!$D$159:$K$159</definedName>
    <definedName name="_TreatedWWsamplesPassedYearly">sewerage!$D$53:$K$53</definedName>
    <definedName name="_TreatedWWsamplesTestedYearly">sewerage!$D$52:$K$52</definedName>
    <definedName name="_TrunkMainLen">'Equity Related Information'!$D$50:$K$50</definedName>
    <definedName name="_ULBemptierTrucks">sewerage!$D$107:$K$107</definedName>
    <definedName name="_Wards">'General Info'!$D$20:$K$20</definedName>
    <definedName name="_Wards2013">'General Info'!$H$20</definedName>
    <definedName name="_WaterComplaintsResolvedYearly">water!$D$76:$K$76</definedName>
    <definedName name="_WaterComplaintsYearly">water!$D$75:$K$75</definedName>
    <definedName name="_WaterSamplesCityYearly">water!$D$98:$K$98</definedName>
    <definedName name="_WaterSamplesCityYearlyPass">water!$D$99:$K$99</definedName>
    <definedName name="_WaterSupplyDistribLosses">water!$D$212:$K$212</definedName>
    <definedName name="_WaterSupplyTransmissionLossEst">water!$D$211:$K$211</definedName>
    <definedName name="_WTPinstalledCap">water!$D$38:$K$38</definedName>
    <definedName name="_WTPtotalVolProd">water!$D$39:$K$39</definedName>
    <definedName name="_WWComplaintsResolvedYearly">sewerage!$D$58:$K$58</definedName>
    <definedName name="_WWComplaintsYearly">sewerage!$D$57:$K$57</definedName>
    <definedName name="_WWNewSewerConxnChargDomNonSlum">sewerage!$D$111:$K$111</definedName>
    <definedName name="_WWNewSewerConxnChargDomSlum">sewerage!$D$112:$K$112</definedName>
    <definedName name="_WWTariffMonthlyComm">sewerage!$D$120:$K$120</definedName>
    <definedName name="_WWTariffMonthlyDomesticNonSlum">sewerage!$D$117:$K$117</definedName>
    <definedName name="_WWTariffMonthlyDomesticSlum">sewerage!$D$118:$K$118</definedName>
    <definedName name="_WWTariffMonthlyInd">sewerage!$D$121:$K$121</definedName>
    <definedName name="_WWTariffMonthlyInst">sewerage!$D$119:$K$119</definedName>
    <definedName name="_WWTariffRsPerKLComm">sewerage!$D$126:$K$126</definedName>
    <definedName name="_WWTariffRsPerKLDomesticNonSlum">sewerage!$D$123:$K$123</definedName>
    <definedName name="_WWTariffRsPerKLDomesticSlum">sewerage!$D$124:$K$124</definedName>
    <definedName name="_WWTariffRsPerKLInd">sewerage!$D$127:$K$127</definedName>
    <definedName name="_WWTariffRsPerKLInst">sewerage!$D$125:$K$125</definedName>
    <definedName name="_xlnm.Print_Area" localSheetId="4">'Equity Related Information'!$A$1:$K$254</definedName>
    <definedName name="_xlnm.Print_Area" localSheetId="0">'General Info'!$A$1:$K$112</definedName>
    <definedName name="_xlnm.Print_Area" localSheetId="5">Reliability!$A$1:$J$199</definedName>
    <definedName name="_xlnm.Print_Area" localSheetId="2">sewerage!$A$1:$K$187</definedName>
    <definedName name="_xlnm.Print_Area" localSheetId="3">swm!$A$1:$K$181</definedName>
    <definedName name="_xlnm.Print_Area" localSheetId="1">water!$A$1:$K$224</definedName>
  </definedNames>
  <calcPr calcId="124519"/>
</workbook>
</file>

<file path=xl/calcChain.xml><?xml version="1.0" encoding="utf-8"?>
<calcChain xmlns="http://schemas.openxmlformats.org/spreadsheetml/2006/main">
  <c r="D4" i="5"/>
  <c r="E4"/>
  <c r="F4"/>
  <c r="G4"/>
  <c r="H4"/>
  <c r="I4"/>
  <c r="J4"/>
  <c r="K4"/>
  <c r="D7"/>
  <c r="E7"/>
  <c r="F7"/>
  <c r="G7"/>
  <c r="H7"/>
  <c r="I7"/>
  <c r="J7"/>
  <c r="K7"/>
  <c r="D9"/>
  <c r="D244" s="1"/>
  <c r="D280" s="1"/>
  <c r="D292" s="1"/>
  <c r="E9"/>
  <c r="F9"/>
  <c r="G9"/>
  <c r="H9"/>
  <c r="H244" s="1"/>
  <c r="H280" s="1"/>
  <c r="H292" s="1"/>
  <c r="I9"/>
  <c r="J9"/>
  <c r="K9"/>
  <c r="D10"/>
  <c r="E10"/>
  <c r="E264" s="1"/>
  <c r="F10"/>
  <c r="G10"/>
  <c r="H10"/>
  <c r="I10"/>
  <c r="I264" s="1"/>
  <c r="J10"/>
  <c r="K10"/>
  <c r="D14"/>
  <c r="E14"/>
  <c r="F14"/>
  <c r="G14"/>
  <c r="H14"/>
  <c r="I14"/>
  <c r="J14"/>
  <c r="K14"/>
  <c r="D31"/>
  <c r="E31"/>
  <c r="F31"/>
  <c r="G31"/>
  <c r="H31"/>
  <c r="I31"/>
  <c r="J31"/>
  <c r="K31"/>
  <c r="D49"/>
  <c r="E49"/>
  <c r="F49"/>
  <c r="G49"/>
  <c r="H49"/>
  <c r="I49"/>
  <c r="J49"/>
  <c r="K49"/>
  <c r="D58"/>
  <c r="E58"/>
  <c r="F58"/>
  <c r="G58"/>
  <c r="H58"/>
  <c r="I58"/>
  <c r="J58"/>
  <c r="K58"/>
  <c r="D64"/>
  <c r="E64"/>
  <c r="F64"/>
  <c r="G64"/>
  <c r="G202" i="2"/>
  <c r="H64" i="5"/>
  <c r="I64"/>
  <c r="J64"/>
  <c r="K64"/>
  <c r="K202" i="2"/>
  <c r="D71" i="5"/>
  <c r="E71"/>
  <c r="F71"/>
  <c r="G71"/>
  <c r="H71"/>
  <c r="I71"/>
  <c r="J71"/>
  <c r="K71"/>
  <c r="D77"/>
  <c r="E77"/>
  <c r="F77"/>
  <c r="G77"/>
  <c r="H77"/>
  <c r="I77"/>
  <c r="J77"/>
  <c r="K77"/>
  <c r="D83"/>
  <c r="E83"/>
  <c r="F83"/>
  <c r="G83"/>
  <c r="H83"/>
  <c r="I83"/>
  <c r="J83"/>
  <c r="K83"/>
  <c r="D86"/>
  <c r="E86"/>
  <c r="F86"/>
  <c r="G86"/>
  <c r="H86"/>
  <c r="I86"/>
  <c r="J86"/>
  <c r="K86"/>
  <c r="D97"/>
  <c r="E97"/>
  <c r="F97"/>
  <c r="G97"/>
  <c r="H97"/>
  <c r="I97"/>
  <c r="J97"/>
  <c r="K97"/>
  <c r="D107"/>
  <c r="E107"/>
  <c r="F107"/>
  <c r="G107"/>
  <c r="H107"/>
  <c r="I107"/>
  <c r="J107"/>
  <c r="K107"/>
  <c r="D121"/>
  <c r="E121"/>
  <c r="F121"/>
  <c r="G121"/>
  <c r="H121"/>
  <c r="I121"/>
  <c r="J121"/>
  <c r="K121"/>
  <c r="D129"/>
  <c r="E129"/>
  <c r="F129"/>
  <c r="G129"/>
  <c r="H129"/>
  <c r="I129"/>
  <c r="J129"/>
  <c r="K129"/>
  <c r="D134"/>
  <c r="E134"/>
  <c r="F134"/>
  <c r="G134"/>
  <c r="H134"/>
  <c r="I134"/>
  <c r="J134"/>
  <c r="K134"/>
  <c r="D149"/>
  <c r="E149"/>
  <c r="F149"/>
  <c r="G149"/>
  <c r="H149"/>
  <c r="I149"/>
  <c r="J149"/>
  <c r="K149"/>
  <c r="D174"/>
  <c r="E174"/>
  <c r="F174"/>
  <c r="G174"/>
  <c r="H174"/>
  <c r="I174"/>
  <c r="J174"/>
  <c r="K174"/>
  <c r="D194"/>
  <c r="E194"/>
  <c r="F194"/>
  <c r="G194"/>
  <c r="H194"/>
  <c r="I194"/>
  <c r="J194"/>
  <c r="K194"/>
  <c r="D198"/>
  <c r="E198"/>
  <c r="F198"/>
  <c r="G198"/>
  <c r="H198"/>
  <c r="I198"/>
  <c r="J198"/>
  <c r="K198"/>
  <c r="D199"/>
  <c r="E199"/>
  <c r="F199"/>
  <c r="G199"/>
  <c r="H199"/>
  <c r="I199"/>
  <c r="J199"/>
  <c r="K199"/>
  <c r="D204"/>
  <c r="E204"/>
  <c r="F204"/>
  <c r="G204"/>
  <c r="H204"/>
  <c r="I204"/>
  <c r="J204"/>
  <c r="K204"/>
  <c r="D205"/>
  <c r="E205"/>
  <c r="F205"/>
  <c r="G205"/>
  <c r="H205"/>
  <c r="I205"/>
  <c r="J205"/>
  <c r="K205"/>
  <c r="D209"/>
  <c r="E209"/>
  <c r="F209"/>
  <c r="G209"/>
  <c r="G208" i="2"/>
  <c r="H209" i="5"/>
  <c r="I209"/>
  <c r="J209"/>
  <c r="K209"/>
  <c r="K208" i="2"/>
  <c r="D210" i="5"/>
  <c r="E210"/>
  <c r="F210"/>
  <c r="G210"/>
  <c r="H210"/>
  <c r="I210"/>
  <c r="J210"/>
  <c r="K210"/>
  <c r="D215"/>
  <c r="E215"/>
  <c r="F215"/>
  <c r="G215"/>
  <c r="G205" i="2"/>
  <c r="H215" i="5"/>
  <c r="I215"/>
  <c r="J215"/>
  <c r="K215"/>
  <c r="K205" i="2"/>
  <c r="D223" i="5"/>
  <c r="E223"/>
  <c r="F223"/>
  <c r="G223"/>
  <c r="H223"/>
  <c r="I223"/>
  <c r="J223"/>
  <c r="K223"/>
  <c r="D228"/>
  <c r="E228"/>
  <c r="F228"/>
  <c r="G228"/>
  <c r="H228"/>
  <c r="I228"/>
  <c r="J228"/>
  <c r="K228"/>
  <c r="D229"/>
  <c r="E229"/>
  <c r="F229"/>
  <c r="G229"/>
  <c r="H229"/>
  <c r="I229"/>
  <c r="J229"/>
  <c r="K229"/>
  <c r="D243"/>
  <c r="E243"/>
  <c r="F243"/>
  <c r="G243"/>
  <c r="H243"/>
  <c r="I243"/>
  <c r="J243"/>
  <c r="K243"/>
  <c r="E244"/>
  <c r="F244"/>
  <c r="G244"/>
  <c r="I244"/>
  <c r="J244"/>
  <c r="K244"/>
  <c r="E245"/>
  <c r="F245"/>
  <c r="G245"/>
  <c r="I245"/>
  <c r="J245"/>
  <c r="K245"/>
  <c r="E246"/>
  <c r="F246"/>
  <c r="G246"/>
  <c r="I246"/>
  <c r="J246"/>
  <c r="K246"/>
  <c r="E247"/>
  <c r="F247"/>
  <c r="G247"/>
  <c r="I247"/>
  <c r="J247"/>
  <c r="K247"/>
  <c r="D249"/>
  <c r="E249"/>
  <c r="F249"/>
  <c r="G249"/>
  <c r="H249"/>
  <c r="I249"/>
  <c r="J249"/>
  <c r="K249"/>
  <c r="E250"/>
  <c r="F250"/>
  <c r="G250"/>
  <c r="H250"/>
  <c r="I250"/>
  <c r="J250"/>
  <c r="K250"/>
  <c r="E251"/>
  <c r="F251"/>
  <c r="G251"/>
  <c r="H251"/>
  <c r="I251"/>
  <c r="J251"/>
  <c r="K251"/>
  <c r="E252"/>
  <c r="F252"/>
  <c r="G252"/>
  <c r="H252"/>
  <c r="I252"/>
  <c r="J252"/>
  <c r="K252"/>
  <c r="E253"/>
  <c r="F253"/>
  <c r="G253"/>
  <c r="H253"/>
  <c r="I253"/>
  <c r="J253"/>
  <c r="K253"/>
  <c r="D255"/>
  <c r="E255"/>
  <c r="F255"/>
  <c r="G255"/>
  <c r="H255"/>
  <c r="I255"/>
  <c r="J255"/>
  <c r="K255"/>
  <c r="D257"/>
  <c r="E257"/>
  <c r="F257"/>
  <c r="G257"/>
  <c r="H257"/>
  <c r="I257"/>
  <c r="J257"/>
  <c r="K257"/>
  <c r="D258"/>
  <c r="E258"/>
  <c r="F258"/>
  <c r="G258"/>
  <c r="H258"/>
  <c r="I258"/>
  <c r="J258"/>
  <c r="K258"/>
  <c r="D259"/>
  <c r="E259"/>
  <c r="F259"/>
  <c r="G259"/>
  <c r="H259"/>
  <c r="I259"/>
  <c r="J259"/>
  <c r="K259"/>
  <c r="D260"/>
  <c r="E260"/>
  <c r="F260"/>
  <c r="G260"/>
  <c r="H260"/>
  <c r="I260"/>
  <c r="J260"/>
  <c r="K260"/>
  <c r="D261"/>
  <c r="E261"/>
  <c r="F261"/>
  <c r="G261"/>
  <c r="H261"/>
  <c r="I261"/>
  <c r="J261"/>
  <c r="K261"/>
  <c r="D262"/>
  <c r="E262"/>
  <c r="F262"/>
  <c r="G262"/>
  <c r="H262"/>
  <c r="I262"/>
  <c r="J262"/>
  <c r="K262"/>
  <c r="D263"/>
  <c r="E263"/>
  <c r="F263"/>
  <c r="G263"/>
  <c r="H263"/>
  <c r="I263"/>
  <c r="J263"/>
  <c r="K263"/>
  <c r="D264"/>
  <c r="F264"/>
  <c r="G264"/>
  <c r="H264"/>
  <c r="J264"/>
  <c r="K264"/>
  <c r="D265"/>
  <c r="F265"/>
  <c r="G265"/>
  <c r="H265"/>
  <c r="J265"/>
  <c r="K265"/>
  <c r="D266"/>
  <c r="E266"/>
  <c r="F266"/>
  <c r="G266"/>
  <c r="H266"/>
  <c r="I266"/>
  <c r="J266"/>
  <c r="K266"/>
  <c r="D267"/>
  <c r="E267"/>
  <c r="F267"/>
  <c r="G267"/>
  <c r="H267"/>
  <c r="I267"/>
  <c r="J267"/>
  <c r="K267"/>
  <c r="D268"/>
  <c r="E268"/>
  <c r="F268"/>
  <c r="G268"/>
  <c r="H268"/>
  <c r="I268"/>
  <c r="J268"/>
  <c r="K268"/>
  <c r="D269"/>
  <c r="E269"/>
  <c r="F269"/>
  <c r="G269"/>
  <c r="H269"/>
  <c r="I269"/>
  <c r="J269"/>
  <c r="K269"/>
  <c r="D271"/>
  <c r="E271"/>
  <c r="F271"/>
  <c r="G271"/>
  <c r="H271"/>
  <c r="I271"/>
  <c r="J271"/>
  <c r="K271"/>
  <c r="D273"/>
  <c r="E273"/>
  <c r="F273"/>
  <c r="G273"/>
  <c r="H273"/>
  <c r="I273"/>
  <c r="J273"/>
  <c r="K273"/>
  <c r="D274"/>
  <c r="E274"/>
  <c r="F274"/>
  <c r="G274"/>
  <c r="H274"/>
  <c r="I274"/>
  <c r="J274"/>
  <c r="K274"/>
  <c r="D275"/>
  <c r="E275"/>
  <c r="F275"/>
  <c r="G275"/>
  <c r="H275"/>
  <c r="I275"/>
  <c r="J275"/>
  <c r="K275"/>
  <c r="D277"/>
  <c r="E277"/>
  <c r="F277"/>
  <c r="G277"/>
  <c r="H277"/>
  <c r="I277"/>
  <c r="J277"/>
  <c r="K277"/>
  <c r="D278"/>
  <c r="E278"/>
  <c r="F278"/>
  <c r="G278"/>
  <c r="H278"/>
  <c r="I278"/>
  <c r="J278"/>
  <c r="K278"/>
  <c r="D279"/>
  <c r="E279"/>
  <c r="F279"/>
  <c r="G279"/>
  <c r="H279"/>
  <c r="I279"/>
  <c r="J279"/>
  <c r="K279"/>
  <c r="E280"/>
  <c r="F280"/>
  <c r="G280"/>
  <c r="I280"/>
  <c r="J280"/>
  <c r="K280"/>
  <c r="E281"/>
  <c r="F281"/>
  <c r="G281"/>
  <c r="I281"/>
  <c r="J281"/>
  <c r="K281"/>
  <c r="D283"/>
  <c r="E283"/>
  <c r="F283"/>
  <c r="G283"/>
  <c r="H283"/>
  <c r="I283"/>
  <c r="J283"/>
  <c r="K283"/>
  <c r="D285"/>
  <c r="D284"/>
  <c r="E285"/>
  <c r="E284"/>
  <c r="F285"/>
  <c r="F284"/>
  <c r="G285"/>
  <c r="G284"/>
  <c r="H285"/>
  <c r="H284"/>
  <c r="I285"/>
  <c r="I284"/>
  <c r="J285"/>
  <c r="J284"/>
  <c r="K285"/>
  <c r="K284"/>
  <c r="D286"/>
  <c r="E286"/>
  <c r="F286"/>
  <c r="G286"/>
  <c r="H286"/>
  <c r="I286"/>
  <c r="J286"/>
  <c r="K286"/>
  <c r="D287"/>
  <c r="E287"/>
  <c r="F287"/>
  <c r="G287"/>
  <c r="H287"/>
  <c r="I287"/>
  <c r="J287"/>
  <c r="K287"/>
  <c r="D289"/>
  <c r="E289"/>
  <c r="E288"/>
  <c r="F289"/>
  <c r="G289"/>
  <c r="H289"/>
  <c r="I289"/>
  <c r="I288"/>
  <c r="J289"/>
  <c r="K289"/>
  <c r="D290"/>
  <c r="E290"/>
  <c r="F290"/>
  <c r="G290"/>
  <c r="H290"/>
  <c r="I290"/>
  <c r="J290"/>
  <c r="K290"/>
  <c r="D291"/>
  <c r="E291"/>
  <c r="F291"/>
  <c r="G291"/>
  <c r="H291"/>
  <c r="I291"/>
  <c r="J291"/>
  <c r="K291"/>
  <c r="E292"/>
  <c r="F292"/>
  <c r="F288" s="1"/>
  <c r="F294" s="1"/>
  <c r="G292"/>
  <c r="G288" s="1"/>
  <c r="G294" s="1"/>
  <c r="I292"/>
  <c r="J292"/>
  <c r="J288" s="1"/>
  <c r="J294" s="1"/>
  <c r="K292"/>
  <c r="K288" s="1"/>
  <c r="K294" s="1"/>
  <c r="E293"/>
  <c r="F293"/>
  <c r="G293"/>
  <c r="I293"/>
  <c r="J293"/>
  <c r="K293"/>
  <c r="D11" i="1"/>
  <c r="E11"/>
  <c r="F11"/>
  <c r="G11"/>
  <c r="H11"/>
  <c r="I11"/>
  <c r="J11"/>
  <c r="K11"/>
  <c r="D12"/>
  <c r="D146" i="5"/>
  <c r="E12" i="1"/>
  <c r="E146" i="5"/>
  <c r="F12" i="1"/>
  <c r="F146" i="5"/>
  <c r="G12" i="1"/>
  <c r="G189" i="2"/>
  <c r="H12" i="1"/>
  <c r="H146" i="5"/>
  <c r="I12" i="1"/>
  <c r="I146" i="5"/>
  <c r="J12" i="1"/>
  <c r="J146" i="5"/>
  <c r="K12" i="1"/>
  <c r="K189" i="2"/>
  <c r="D23" i="1"/>
  <c r="E23"/>
  <c r="D4" i="6"/>
  <c r="E4"/>
  <c r="F4"/>
  <c r="G4"/>
  <c r="H4"/>
  <c r="I4"/>
  <c r="J4"/>
  <c r="D4" i="3"/>
  <c r="E4"/>
  <c r="F4"/>
  <c r="G4"/>
  <c r="H4"/>
  <c r="I4"/>
  <c r="J4"/>
  <c r="K4"/>
  <c r="D7"/>
  <c r="E7"/>
  <c r="E5" s="1"/>
  <c r="E134" s="1"/>
  <c r="F7"/>
  <c r="F12" s="1"/>
  <c r="G7"/>
  <c r="H7"/>
  <c r="I7"/>
  <c r="I12" s="1"/>
  <c r="J7"/>
  <c r="J12" s="1"/>
  <c r="J165" s="1"/>
  <c r="K7"/>
  <c r="D10"/>
  <c r="D5"/>
  <c r="D134"/>
  <c r="E10"/>
  <c r="F10"/>
  <c r="G149"/>
  <c r="G10"/>
  <c r="G5"/>
  <c r="G134"/>
  <c r="H10"/>
  <c r="H5"/>
  <c r="H134"/>
  <c r="I10"/>
  <c r="J10"/>
  <c r="J5"/>
  <c r="J134" s="1"/>
  <c r="K10"/>
  <c r="K5"/>
  <c r="K134"/>
  <c r="J11"/>
  <c r="J135"/>
  <c r="K11"/>
  <c r="D12"/>
  <c r="D11" s="1"/>
  <c r="D135" s="1"/>
  <c r="E12"/>
  <c r="E11"/>
  <c r="E135" s="1"/>
  <c r="G12"/>
  <c r="G11" s="1"/>
  <c r="G135" s="1"/>
  <c r="H12"/>
  <c r="H11"/>
  <c r="H135" s="1"/>
  <c r="K12"/>
  <c r="J15"/>
  <c r="J136" s="1"/>
  <c r="K15"/>
  <c r="D16"/>
  <c r="E16"/>
  <c r="F16"/>
  <c r="G16"/>
  <c r="H16"/>
  <c r="I16"/>
  <c r="J16"/>
  <c r="K16"/>
  <c r="D17"/>
  <c r="E17"/>
  <c r="F17"/>
  <c r="G17"/>
  <c r="H17"/>
  <c r="I17"/>
  <c r="J17"/>
  <c r="K17"/>
  <c r="D18"/>
  <c r="E18"/>
  <c r="F18"/>
  <c r="G18"/>
  <c r="H18"/>
  <c r="I18"/>
  <c r="J18"/>
  <c r="K18"/>
  <c r="D19"/>
  <c r="E19"/>
  <c r="F19"/>
  <c r="G19"/>
  <c r="H19"/>
  <c r="I19"/>
  <c r="J19"/>
  <c r="K19"/>
  <c r="D20"/>
  <c r="E20"/>
  <c r="F20"/>
  <c r="G20"/>
  <c r="H20"/>
  <c r="I20"/>
  <c r="J20"/>
  <c r="K20"/>
  <c r="D21"/>
  <c r="E21"/>
  <c r="F21"/>
  <c r="G21"/>
  <c r="H21"/>
  <c r="I21"/>
  <c r="J21"/>
  <c r="K21"/>
  <c r="D22"/>
  <c r="E22"/>
  <c r="F22"/>
  <c r="G22"/>
  <c r="H22"/>
  <c r="I22"/>
  <c r="J22"/>
  <c r="K22"/>
  <c r="D23"/>
  <c r="E23"/>
  <c r="F23"/>
  <c r="G23"/>
  <c r="H23"/>
  <c r="I23"/>
  <c r="J23"/>
  <c r="K23"/>
  <c r="D25"/>
  <c r="E25"/>
  <c r="F25"/>
  <c r="G25"/>
  <c r="H25"/>
  <c r="I25"/>
  <c r="J25"/>
  <c r="K25"/>
  <c r="D26"/>
  <c r="E26"/>
  <c r="E34" s="1"/>
  <c r="F26"/>
  <c r="G26"/>
  <c r="H26"/>
  <c r="H34" s="1"/>
  <c r="I26"/>
  <c r="J26"/>
  <c r="J34" s="1"/>
  <c r="K26"/>
  <c r="D27"/>
  <c r="E27"/>
  <c r="F27"/>
  <c r="G27"/>
  <c r="H27"/>
  <c r="I27"/>
  <c r="J27"/>
  <c r="K27"/>
  <c r="D28"/>
  <c r="E28"/>
  <c r="F28"/>
  <c r="G28"/>
  <c r="H28"/>
  <c r="I28"/>
  <c r="J28"/>
  <c r="K28"/>
  <c r="D29"/>
  <c r="E29"/>
  <c r="F29"/>
  <c r="G29"/>
  <c r="H29"/>
  <c r="I29"/>
  <c r="J29"/>
  <c r="K29"/>
  <c r="D30"/>
  <c r="E30"/>
  <c r="F30"/>
  <c r="G30"/>
  <c r="H30"/>
  <c r="I30"/>
  <c r="J30"/>
  <c r="K30"/>
  <c r="D31"/>
  <c r="E31"/>
  <c r="F31"/>
  <c r="G31"/>
  <c r="H31"/>
  <c r="I31"/>
  <c r="J31"/>
  <c r="K31"/>
  <c r="D32"/>
  <c r="E32"/>
  <c r="F32"/>
  <c r="G32"/>
  <c r="H32"/>
  <c r="I32"/>
  <c r="J32"/>
  <c r="K32"/>
  <c r="D33"/>
  <c r="E33"/>
  <c r="F33"/>
  <c r="G33"/>
  <c r="H33"/>
  <c r="I33"/>
  <c r="J33"/>
  <c r="K33"/>
  <c r="D34"/>
  <c r="D15"/>
  <c r="D136"/>
  <c r="F34"/>
  <c r="F44" s="1"/>
  <c r="G34"/>
  <c r="G15"/>
  <c r="G136"/>
  <c r="I34"/>
  <c r="I44" s="1"/>
  <c r="K34"/>
  <c r="D35"/>
  <c r="E35"/>
  <c r="F35"/>
  <c r="G35"/>
  <c r="H35"/>
  <c r="I35"/>
  <c r="J35"/>
  <c r="K35"/>
  <c r="D38"/>
  <c r="E38"/>
  <c r="F38"/>
  <c r="G38"/>
  <c r="H38"/>
  <c r="I38"/>
  <c r="J38"/>
  <c r="K38"/>
  <c r="J40"/>
  <c r="J137"/>
  <c r="K40"/>
  <c r="K137" s="1"/>
  <c r="D43"/>
  <c r="E43"/>
  <c r="F43"/>
  <c r="G43"/>
  <c r="H43"/>
  <c r="I43"/>
  <c r="J43"/>
  <c r="K43"/>
  <c r="D44"/>
  <c r="D172" s="1"/>
  <c r="G44"/>
  <c r="G40" s="1"/>
  <c r="G137" s="1"/>
  <c r="K44"/>
  <c r="D46"/>
  <c r="F46"/>
  <c r="F138"/>
  <c r="G46"/>
  <c r="G138"/>
  <c r="H46"/>
  <c r="J46"/>
  <c r="J138"/>
  <c r="K46"/>
  <c r="K138"/>
  <c r="B47"/>
  <c r="D47"/>
  <c r="E47"/>
  <c r="E46"/>
  <c r="E138"/>
  <c r="F47"/>
  <c r="G47"/>
  <c r="H47"/>
  <c r="I47"/>
  <c r="I46"/>
  <c r="I138"/>
  <c r="J47"/>
  <c r="K47"/>
  <c r="D50"/>
  <c r="E50"/>
  <c r="F50"/>
  <c r="G50"/>
  <c r="H50"/>
  <c r="I50"/>
  <c r="J50"/>
  <c r="K50"/>
  <c r="D51"/>
  <c r="E51"/>
  <c r="F51"/>
  <c r="G51"/>
  <c r="H51"/>
  <c r="I51"/>
  <c r="J51"/>
  <c r="K51"/>
  <c r="D55"/>
  <c r="E55"/>
  <c r="F55"/>
  <c r="G55"/>
  <c r="H55"/>
  <c r="I55"/>
  <c r="J55"/>
  <c r="K55"/>
  <c r="D56"/>
  <c r="E56"/>
  <c r="F56"/>
  <c r="G56"/>
  <c r="H56"/>
  <c r="I56"/>
  <c r="J56"/>
  <c r="K56"/>
  <c r="D61"/>
  <c r="E61"/>
  <c r="F61"/>
  <c r="G61"/>
  <c r="H61"/>
  <c r="I61"/>
  <c r="J61"/>
  <c r="K61"/>
  <c r="D69"/>
  <c r="E69"/>
  <c r="F69"/>
  <c r="G69"/>
  <c r="H69"/>
  <c r="I69"/>
  <c r="J69"/>
  <c r="K69"/>
  <c r="D70"/>
  <c r="E70"/>
  <c r="F70"/>
  <c r="G70"/>
  <c r="H70"/>
  <c r="I70"/>
  <c r="J70"/>
  <c r="K70"/>
  <c r="D75"/>
  <c r="D60"/>
  <c r="D141"/>
  <c r="E75"/>
  <c r="E60"/>
  <c r="E141"/>
  <c r="F75"/>
  <c r="F187"/>
  <c r="G75"/>
  <c r="G79"/>
  <c r="G77"/>
  <c r="G142"/>
  <c r="H75"/>
  <c r="H60"/>
  <c r="H141"/>
  <c r="I75"/>
  <c r="I187"/>
  <c r="J75"/>
  <c r="J187"/>
  <c r="K75"/>
  <c r="K79"/>
  <c r="K77"/>
  <c r="K142"/>
  <c r="D78"/>
  <c r="E78"/>
  <c r="F78"/>
  <c r="G78"/>
  <c r="H78"/>
  <c r="I78"/>
  <c r="J78"/>
  <c r="K78"/>
  <c r="B79"/>
  <c r="D79"/>
  <c r="D77"/>
  <c r="D142"/>
  <c r="H79"/>
  <c r="H77"/>
  <c r="H142"/>
  <c r="D84"/>
  <c r="E84"/>
  <c r="F84"/>
  <c r="G84"/>
  <c r="H84"/>
  <c r="I84"/>
  <c r="J84"/>
  <c r="K84"/>
  <c r="D85"/>
  <c r="E85"/>
  <c r="F85"/>
  <c r="G85"/>
  <c r="H85"/>
  <c r="I85"/>
  <c r="J85"/>
  <c r="K85"/>
  <c r="D89"/>
  <c r="E89"/>
  <c r="F89"/>
  <c r="G89"/>
  <c r="H89"/>
  <c r="I89"/>
  <c r="J89"/>
  <c r="K89"/>
  <c r="D94"/>
  <c r="E94"/>
  <c r="F94"/>
  <c r="G94"/>
  <c r="H94"/>
  <c r="I94"/>
  <c r="J94"/>
  <c r="K94"/>
  <c r="D103"/>
  <c r="E103"/>
  <c r="F103"/>
  <c r="G103"/>
  <c r="H103"/>
  <c r="I103"/>
  <c r="J103"/>
  <c r="K103"/>
  <c r="D104"/>
  <c r="D171"/>
  <c r="E104"/>
  <c r="E171"/>
  <c r="F104"/>
  <c r="G104"/>
  <c r="H104"/>
  <c r="H182"/>
  <c r="I104"/>
  <c r="I171"/>
  <c r="J104"/>
  <c r="K104"/>
  <c r="D133"/>
  <c r="E133"/>
  <c r="F133"/>
  <c r="G133"/>
  <c r="H133"/>
  <c r="I133"/>
  <c r="J133"/>
  <c r="K133"/>
  <c r="A135"/>
  <c r="A136"/>
  <c r="A137"/>
  <c r="K135"/>
  <c r="K136"/>
  <c r="D138"/>
  <c r="H138"/>
  <c r="D139"/>
  <c r="E139"/>
  <c r="F139"/>
  <c r="G139"/>
  <c r="H139"/>
  <c r="I139"/>
  <c r="J139"/>
  <c r="K139"/>
  <c r="D140"/>
  <c r="E140"/>
  <c r="F140"/>
  <c r="G140"/>
  <c r="H140"/>
  <c r="I140"/>
  <c r="J140"/>
  <c r="K140"/>
  <c r="A142"/>
  <c r="D143"/>
  <c r="E143"/>
  <c r="F143"/>
  <c r="G143"/>
  <c r="H143"/>
  <c r="I143"/>
  <c r="J143"/>
  <c r="K143"/>
  <c r="D144"/>
  <c r="E144"/>
  <c r="F144"/>
  <c r="G144"/>
  <c r="H144"/>
  <c r="I144"/>
  <c r="J144"/>
  <c r="K144"/>
  <c r="D145"/>
  <c r="E145"/>
  <c r="F145"/>
  <c r="G145"/>
  <c r="H145"/>
  <c r="I145"/>
  <c r="J145"/>
  <c r="K145"/>
  <c r="D147"/>
  <c r="E147"/>
  <c r="F147"/>
  <c r="G147"/>
  <c r="H147"/>
  <c r="I147"/>
  <c r="J147"/>
  <c r="K147"/>
  <c r="E149"/>
  <c r="F149"/>
  <c r="H149"/>
  <c r="I149"/>
  <c r="J149"/>
  <c r="A150"/>
  <c r="E150"/>
  <c r="F150"/>
  <c r="G150"/>
  <c r="H150"/>
  <c r="I150"/>
  <c r="J150"/>
  <c r="K150"/>
  <c r="A151"/>
  <c r="E151"/>
  <c r="A152"/>
  <c r="J152"/>
  <c r="A153"/>
  <c r="E153"/>
  <c r="F153"/>
  <c r="G153"/>
  <c r="H153"/>
  <c r="I153"/>
  <c r="J153"/>
  <c r="K153"/>
  <c r="A154"/>
  <c r="E154"/>
  <c r="F154"/>
  <c r="G154"/>
  <c r="H154"/>
  <c r="I154"/>
  <c r="J154"/>
  <c r="K154"/>
  <c r="A155"/>
  <c r="E155"/>
  <c r="F155"/>
  <c r="G155"/>
  <c r="H155"/>
  <c r="I155"/>
  <c r="J155"/>
  <c r="K155"/>
  <c r="A156"/>
  <c r="E156"/>
  <c r="F156"/>
  <c r="G156"/>
  <c r="H156"/>
  <c r="I156"/>
  <c r="J156"/>
  <c r="K156"/>
  <c r="A157"/>
  <c r="E157"/>
  <c r="F157"/>
  <c r="G157"/>
  <c r="H157"/>
  <c r="I157"/>
  <c r="J157"/>
  <c r="K157"/>
  <c r="D158"/>
  <c r="E158"/>
  <c r="F158"/>
  <c r="G158"/>
  <c r="H158"/>
  <c r="I158"/>
  <c r="J158"/>
  <c r="K158"/>
  <c r="E160"/>
  <c r="F160"/>
  <c r="G160"/>
  <c r="H160"/>
  <c r="I160"/>
  <c r="J160"/>
  <c r="K160"/>
  <c r="E161"/>
  <c r="F161"/>
  <c r="G161"/>
  <c r="H161"/>
  <c r="I161"/>
  <c r="J161"/>
  <c r="K161"/>
  <c r="D163"/>
  <c r="E163"/>
  <c r="F163"/>
  <c r="G163"/>
  <c r="H163"/>
  <c r="I163"/>
  <c r="J163"/>
  <c r="K163"/>
  <c r="D164"/>
  <c r="E164"/>
  <c r="F164"/>
  <c r="G164"/>
  <c r="H164"/>
  <c r="I164"/>
  <c r="J164"/>
  <c r="K164"/>
  <c r="E165"/>
  <c r="H165"/>
  <c r="K165"/>
  <c r="D166"/>
  <c r="E166"/>
  <c r="F166"/>
  <c r="G166"/>
  <c r="H166"/>
  <c r="I166"/>
  <c r="J166"/>
  <c r="K166"/>
  <c r="D167"/>
  <c r="E167"/>
  <c r="F167"/>
  <c r="G167"/>
  <c r="H167"/>
  <c r="I167"/>
  <c r="J167"/>
  <c r="K167"/>
  <c r="D168"/>
  <c r="E168"/>
  <c r="F168"/>
  <c r="G168"/>
  <c r="H168"/>
  <c r="I168"/>
  <c r="J168"/>
  <c r="K168"/>
  <c r="D169"/>
  <c r="E169"/>
  <c r="F169"/>
  <c r="G169"/>
  <c r="H169"/>
  <c r="I169"/>
  <c r="J169"/>
  <c r="K169"/>
  <c r="D170"/>
  <c r="E170"/>
  <c r="F170"/>
  <c r="G170"/>
  <c r="H170"/>
  <c r="I170"/>
  <c r="J170"/>
  <c r="K170"/>
  <c r="F171"/>
  <c r="G171"/>
  <c r="H171"/>
  <c r="J171"/>
  <c r="K171"/>
  <c r="G172"/>
  <c r="K172"/>
  <c r="D173"/>
  <c r="G173"/>
  <c r="I173"/>
  <c r="K173"/>
  <c r="D174"/>
  <c r="E174"/>
  <c r="F174"/>
  <c r="G174"/>
  <c r="H174"/>
  <c r="I174"/>
  <c r="J174"/>
  <c r="K174"/>
  <c r="D175"/>
  <c r="E175"/>
  <c r="F175"/>
  <c r="G175"/>
  <c r="H175"/>
  <c r="I175"/>
  <c r="J175"/>
  <c r="K175"/>
  <c r="D176"/>
  <c r="E176"/>
  <c r="F176"/>
  <c r="G176"/>
  <c r="H176"/>
  <c r="I176"/>
  <c r="J176"/>
  <c r="K176"/>
  <c r="D177"/>
  <c r="E177"/>
  <c r="F177"/>
  <c r="G177"/>
  <c r="H177"/>
  <c r="I177"/>
  <c r="J177"/>
  <c r="K177"/>
  <c r="D178"/>
  <c r="E178"/>
  <c r="F178"/>
  <c r="G178"/>
  <c r="H178"/>
  <c r="I178"/>
  <c r="J178"/>
  <c r="K178"/>
  <c r="D179"/>
  <c r="E179"/>
  <c r="F179"/>
  <c r="G179"/>
  <c r="H179"/>
  <c r="I179"/>
  <c r="J179"/>
  <c r="K179"/>
  <c r="D180"/>
  <c r="E180"/>
  <c r="F180"/>
  <c r="G180"/>
  <c r="H180"/>
  <c r="I180"/>
  <c r="J180"/>
  <c r="K180"/>
  <c r="G181"/>
  <c r="K181"/>
  <c r="F182"/>
  <c r="G182"/>
  <c r="J182"/>
  <c r="K182"/>
  <c r="F183"/>
  <c r="G183"/>
  <c r="J183"/>
  <c r="K183"/>
  <c r="D184"/>
  <c r="E184"/>
  <c r="F184"/>
  <c r="G184"/>
  <c r="H184"/>
  <c r="I184"/>
  <c r="J184"/>
  <c r="K184"/>
  <c r="D185"/>
  <c r="E185"/>
  <c r="F185"/>
  <c r="G185"/>
  <c r="H185"/>
  <c r="I185"/>
  <c r="J185"/>
  <c r="K185"/>
  <c r="D186"/>
  <c r="E186"/>
  <c r="F186"/>
  <c r="G186"/>
  <c r="H186"/>
  <c r="I186"/>
  <c r="J186"/>
  <c r="K186"/>
  <c r="D187"/>
  <c r="G187"/>
  <c r="H187"/>
  <c r="K187"/>
  <c r="D4" i="4"/>
  <c r="E4"/>
  <c r="F4"/>
  <c r="G4"/>
  <c r="H4"/>
  <c r="I4"/>
  <c r="J4"/>
  <c r="K4"/>
  <c r="D12"/>
  <c r="D5"/>
  <c r="D150"/>
  <c r="E12"/>
  <c r="E5"/>
  <c r="E150" s="1"/>
  <c r="F12"/>
  <c r="F5"/>
  <c r="F150"/>
  <c r="G12"/>
  <c r="G179"/>
  <c r="H12"/>
  <c r="H5"/>
  <c r="H150" s="1"/>
  <c r="I12"/>
  <c r="I5"/>
  <c r="I150"/>
  <c r="J12"/>
  <c r="J5"/>
  <c r="J150"/>
  <c r="K12"/>
  <c r="K179"/>
  <c r="D15"/>
  <c r="E15"/>
  <c r="F15"/>
  <c r="G15"/>
  <c r="H15"/>
  <c r="I15"/>
  <c r="J15"/>
  <c r="K15"/>
  <c r="D23"/>
  <c r="E23"/>
  <c r="F23"/>
  <c r="G23"/>
  <c r="H23"/>
  <c r="I23"/>
  <c r="J23"/>
  <c r="K23"/>
  <c r="D27"/>
  <c r="D14"/>
  <c r="D151"/>
  <c r="E27"/>
  <c r="E14"/>
  <c r="E151"/>
  <c r="F27"/>
  <c r="F14"/>
  <c r="F151"/>
  <c r="G27"/>
  <c r="G176"/>
  <c r="H27"/>
  <c r="H14"/>
  <c r="H151"/>
  <c r="I27"/>
  <c r="I14"/>
  <c r="I151"/>
  <c r="J27"/>
  <c r="J14"/>
  <c r="J151"/>
  <c r="K27"/>
  <c r="K176"/>
  <c r="D32"/>
  <c r="E32"/>
  <c r="F32"/>
  <c r="G32"/>
  <c r="H32"/>
  <c r="I32"/>
  <c r="J32"/>
  <c r="K32"/>
  <c r="D36"/>
  <c r="E36"/>
  <c r="F36"/>
  <c r="G36"/>
  <c r="H36"/>
  <c r="I36"/>
  <c r="J36"/>
  <c r="K36"/>
  <c r="D40"/>
  <c r="E40"/>
  <c r="F40"/>
  <c r="G40"/>
  <c r="H40"/>
  <c r="I40"/>
  <c r="J40"/>
  <c r="K40"/>
  <c r="D44"/>
  <c r="E44"/>
  <c r="F44"/>
  <c r="G44"/>
  <c r="H44"/>
  <c r="I44"/>
  <c r="J44"/>
  <c r="K44"/>
  <c r="D48"/>
  <c r="E48"/>
  <c r="F48"/>
  <c r="G48"/>
  <c r="H48"/>
  <c r="I48"/>
  <c r="J48"/>
  <c r="K48"/>
  <c r="D52"/>
  <c r="E52"/>
  <c r="F52"/>
  <c r="G52"/>
  <c r="H52"/>
  <c r="I52"/>
  <c r="J52"/>
  <c r="K52"/>
  <c r="D53"/>
  <c r="E53"/>
  <c r="F53"/>
  <c r="G53"/>
  <c r="H53"/>
  <c r="I53"/>
  <c r="J53"/>
  <c r="K53"/>
  <c r="D55"/>
  <c r="E55"/>
  <c r="F55"/>
  <c r="G55"/>
  <c r="H55"/>
  <c r="I55"/>
  <c r="J55"/>
  <c r="K55"/>
  <c r="D56"/>
  <c r="E56"/>
  <c r="F56"/>
  <c r="G56"/>
  <c r="H56"/>
  <c r="I56"/>
  <c r="J56"/>
  <c r="K56"/>
  <c r="D61"/>
  <c r="E61"/>
  <c r="F61"/>
  <c r="G61"/>
  <c r="H61"/>
  <c r="I61"/>
  <c r="J61"/>
  <c r="K61"/>
  <c r="D72"/>
  <c r="E72"/>
  <c r="F72"/>
  <c r="G72"/>
  <c r="G172"/>
  <c r="H72"/>
  <c r="I72"/>
  <c r="J72"/>
  <c r="K72"/>
  <c r="K172"/>
  <c r="D73"/>
  <c r="E73"/>
  <c r="F73"/>
  <c r="G73"/>
  <c r="G173"/>
  <c r="H73"/>
  <c r="I73"/>
  <c r="J73"/>
  <c r="K73"/>
  <c r="K173"/>
  <c r="D76"/>
  <c r="D60"/>
  <c r="D153"/>
  <c r="E76"/>
  <c r="E60"/>
  <c r="E153"/>
  <c r="F76"/>
  <c r="F60"/>
  <c r="F153"/>
  <c r="G76"/>
  <c r="G60"/>
  <c r="G153"/>
  <c r="H76"/>
  <c r="H60"/>
  <c r="H153"/>
  <c r="I76"/>
  <c r="I60"/>
  <c r="I153"/>
  <c r="J76"/>
  <c r="J60"/>
  <c r="J153"/>
  <c r="K76"/>
  <c r="K60"/>
  <c r="K153"/>
  <c r="D78"/>
  <c r="E78"/>
  <c r="F78"/>
  <c r="G78"/>
  <c r="H78"/>
  <c r="I78"/>
  <c r="J78"/>
  <c r="K78"/>
  <c r="D79"/>
  <c r="E79"/>
  <c r="F79"/>
  <c r="G79"/>
  <c r="H79"/>
  <c r="I79"/>
  <c r="J79"/>
  <c r="K79"/>
  <c r="D83"/>
  <c r="E83"/>
  <c r="F83"/>
  <c r="G83"/>
  <c r="H83"/>
  <c r="I83"/>
  <c r="J83"/>
  <c r="K83"/>
  <c r="D84"/>
  <c r="E84"/>
  <c r="F84"/>
  <c r="G84"/>
  <c r="H84"/>
  <c r="I84"/>
  <c r="J84"/>
  <c r="K84"/>
  <c r="D89"/>
  <c r="E89"/>
  <c r="F89"/>
  <c r="G89"/>
  <c r="H89"/>
  <c r="I89"/>
  <c r="J89"/>
  <c r="K89"/>
  <c r="D97"/>
  <c r="D88"/>
  <c r="D155"/>
  <c r="E97"/>
  <c r="E88"/>
  <c r="E155"/>
  <c r="F97"/>
  <c r="F88"/>
  <c r="F155"/>
  <c r="G97"/>
  <c r="G88"/>
  <c r="G155"/>
  <c r="H97"/>
  <c r="H88"/>
  <c r="H155"/>
  <c r="I97"/>
  <c r="I88"/>
  <c r="I155"/>
  <c r="J97"/>
  <c r="J88"/>
  <c r="J155"/>
  <c r="K97"/>
  <c r="K88"/>
  <c r="K155"/>
  <c r="D99"/>
  <c r="E99"/>
  <c r="F99"/>
  <c r="G99"/>
  <c r="H99"/>
  <c r="I99"/>
  <c r="J99"/>
  <c r="K99"/>
  <c r="D108"/>
  <c r="E108"/>
  <c r="F108"/>
  <c r="G108"/>
  <c r="G181"/>
  <c r="H108"/>
  <c r="I108"/>
  <c r="J108"/>
  <c r="K108"/>
  <c r="K181"/>
  <c r="D111"/>
  <c r="E111"/>
  <c r="F111"/>
  <c r="G111"/>
  <c r="H111"/>
  <c r="I111"/>
  <c r="J111"/>
  <c r="K111"/>
  <c r="D112"/>
  <c r="D110"/>
  <c r="D156"/>
  <c r="E112"/>
  <c r="E110"/>
  <c r="E156"/>
  <c r="F112"/>
  <c r="F110"/>
  <c r="F156"/>
  <c r="G112"/>
  <c r="G110"/>
  <c r="G156"/>
  <c r="H112"/>
  <c r="H110"/>
  <c r="H156"/>
  <c r="I112"/>
  <c r="I110"/>
  <c r="I156"/>
  <c r="J112"/>
  <c r="J110"/>
  <c r="J156"/>
  <c r="K112"/>
  <c r="K110"/>
  <c r="K156"/>
  <c r="D117"/>
  <c r="E117"/>
  <c r="F117"/>
  <c r="G117"/>
  <c r="H117"/>
  <c r="I117"/>
  <c r="J117"/>
  <c r="K117"/>
  <c r="D131"/>
  <c r="E131"/>
  <c r="F131"/>
  <c r="G131"/>
  <c r="G177"/>
  <c r="H131"/>
  <c r="I131"/>
  <c r="J131"/>
  <c r="K131"/>
  <c r="K177"/>
  <c r="D132"/>
  <c r="E132"/>
  <c r="F132"/>
  <c r="G132"/>
  <c r="G178"/>
  <c r="H132"/>
  <c r="I132"/>
  <c r="J132"/>
  <c r="K132"/>
  <c r="K178"/>
  <c r="D139"/>
  <c r="E139"/>
  <c r="F139"/>
  <c r="G139"/>
  <c r="H139"/>
  <c r="I139"/>
  <c r="J139"/>
  <c r="K139"/>
  <c r="D149"/>
  <c r="E149"/>
  <c r="F149"/>
  <c r="G149"/>
  <c r="H149"/>
  <c r="I149"/>
  <c r="J149"/>
  <c r="K149"/>
  <c r="D152"/>
  <c r="E152"/>
  <c r="F152"/>
  <c r="G152"/>
  <c r="H152"/>
  <c r="I152"/>
  <c r="J152"/>
  <c r="K152"/>
  <c r="D154"/>
  <c r="E154"/>
  <c r="F154"/>
  <c r="G154"/>
  <c r="H154"/>
  <c r="I154"/>
  <c r="J154"/>
  <c r="K154"/>
  <c r="D157"/>
  <c r="E157"/>
  <c r="F157"/>
  <c r="G157"/>
  <c r="H157"/>
  <c r="I157"/>
  <c r="J157"/>
  <c r="K157"/>
  <c r="D159"/>
  <c r="E159"/>
  <c r="F159"/>
  <c r="G159"/>
  <c r="H159"/>
  <c r="I159"/>
  <c r="J159"/>
  <c r="K159"/>
  <c r="E160"/>
  <c r="F160"/>
  <c r="G160"/>
  <c r="H160"/>
  <c r="I160"/>
  <c r="J160"/>
  <c r="K160"/>
  <c r="A161"/>
  <c r="E161"/>
  <c r="F161"/>
  <c r="G161"/>
  <c r="H161"/>
  <c r="I161"/>
  <c r="J161"/>
  <c r="K161"/>
  <c r="A162"/>
  <c r="E162"/>
  <c r="F162"/>
  <c r="G162"/>
  <c r="H162"/>
  <c r="I162"/>
  <c r="J162"/>
  <c r="K162"/>
  <c r="A163"/>
  <c r="E163"/>
  <c r="F163"/>
  <c r="G163"/>
  <c r="H163"/>
  <c r="I163"/>
  <c r="J163"/>
  <c r="K163"/>
  <c r="A164"/>
  <c r="E164"/>
  <c r="F164"/>
  <c r="G164"/>
  <c r="H164"/>
  <c r="I164"/>
  <c r="J164"/>
  <c r="K164"/>
  <c r="A165"/>
  <c r="E165"/>
  <c r="F165"/>
  <c r="G165"/>
  <c r="H165"/>
  <c r="I165"/>
  <c r="J165"/>
  <c r="K165"/>
  <c r="A166"/>
  <c r="E166"/>
  <c r="F166"/>
  <c r="G166"/>
  <c r="H166"/>
  <c r="I166"/>
  <c r="J166"/>
  <c r="K166"/>
  <c r="A167"/>
  <c r="E167"/>
  <c r="F167"/>
  <c r="G167"/>
  <c r="H167"/>
  <c r="I167"/>
  <c r="J167"/>
  <c r="K167"/>
  <c r="D169"/>
  <c r="E169"/>
  <c r="F169"/>
  <c r="G169"/>
  <c r="H169"/>
  <c r="I169"/>
  <c r="J169"/>
  <c r="K169"/>
  <c r="D170"/>
  <c r="E170"/>
  <c r="F170"/>
  <c r="G170"/>
  <c r="H170"/>
  <c r="I170"/>
  <c r="J170"/>
  <c r="K170"/>
  <c r="D171"/>
  <c r="E171"/>
  <c r="F171"/>
  <c r="G171"/>
  <c r="H171"/>
  <c r="I171"/>
  <c r="J171"/>
  <c r="K171"/>
  <c r="D172"/>
  <c r="E172"/>
  <c r="F172"/>
  <c r="H172"/>
  <c r="I172"/>
  <c r="J172"/>
  <c r="D173"/>
  <c r="E173"/>
  <c r="F173"/>
  <c r="H173"/>
  <c r="I173"/>
  <c r="J173"/>
  <c r="D174"/>
  <c r="E174"/>
  <c r="F174"/>
  <c r="G174"/>
  <c r="H174"/>
  <c r="I174"/>
  <c r="J174"/>
  <c r="K174"/>
  <c r="D175"/>
  <c r="E175"/>
  <c r="F175"/>
  <c r="G175"/>
  <c r="H175"/>
  <c r="I175"/>
  <c r="J175"/>
  <c r="K175"/>
  <c r="D176"/>
  <c r="E176"/>
  <c r="F176"/>
  <c r="H176"/>
  <c r="I176"/>
  <c r="J176"/>
  <c r="D177"/>
  <c r="E177"/>
  <c r="F177"/>
  <c r="H177"/>
  <c r="I177"/>
  <c r="J177"/>
  <c r="D178"/>
  <c r="E178"/>
  <c r="F178"/>
  <c r="H178"/>
  <c r="I178"/>
  <c r="J178"/>
  <c r="D179"/>
  <c r="E179"/>
  <c r="F179"/>
  <c r="H179"/>
  <c r="I179"/>
  <c r="J179"/>
  <c r="D180"/>
  <c r="E180"/>
  <c r="F180"/>
  <c r="H180"/>
  <c r="I180"/>
  <c r="J180"/>
  <c r="D181"/>
  <c r="E181"/>
  <c r="F181"/>
  <c r="H181"/>
  <c r="I181"/>
  <c r="J181"/>
  <c r="D4" i="2"/>
  <c r="E4"/>
  <c r="F4"/>
  <c r="G4"/>
  <c r="H4"/>
  <c r="I4"/>
  <c r="J4"/>
  <c r="K4"/>
  <c r="D10"/>
  <c r="E10"/>
  <c r="F10"/>
  <c r="G10"/>
  <c r="H10"/>
  <c r="I10"/>
  <c r="J10"/>
  <c r="K10"/>
  <c r="D14"/>
  <c r="E14"/>
  <c r="F14"/>
  <c r="G14"/>
  <c r="H14"/>
  <c r="I14"/>
  <c r="J14"/>
  <c r="K14"/>
  <c r="D18"/>
  <c r="E18"/>
  <c r="F18"/>
  <c r="G18"/>
  <c r="H18"/>
  <c r="I18"/>
  <c r="J18"/>
  <c r="K18"/>
  <c r="D22"/>
  <c r="E22"/>
  <c r="F22"/>
  <c r="G22"/>
  <c r="H22"/>
  <c r="I22"/>
  <c r="J22"/>
  <c r="K22"/>
  <c r="D23"/>
  <c r="E23"/>
  <c r="F23"/>
  <c r="G23"/>
  <c r="H23"/>
  <c r="I23"/>
  <c r="J23"/>
  <c r="K23"/>
  <c r="D25"/>
  <c r="E25"/>
  <c r="F25"/>
  <c r="G25"/>
  <c r="H25"/>
  <c r="I25"/>
  <c r="J25"/>
  <c r="K25"/>
  <c r="D29"/>
  <c r="D189"/>
  <c r="E29"/>
  <c r="E5"/>
  <c r="E166" s="1"/>
  <c r="F29"/>
  <c r="F5"/>
  <c r="F166"/>
  <c r="G29"/>
  <c r="G5"/>
  <c r="G166"/>
  <c r="H29"/>
  <c r="H189"/>
  <c r="I29"/>
  <c r="I5"/>
  <c r="I166"/>
  <c r="J29"/>
  <c r="J5"/>
  <c r="J166"/>
  <c r="K29"/>
  <c r="K5"/>
  <c r="K166"/>
  <c r="D31"/>
  <c r="D167" s="1"/>
  <c r="E31"/>
  <c r="E167" s="1"/>
  <c r="F31"/>
  <c r="G31"/>
  <c r="H31"/>
  <c r="H167" s="1"/>
  <c r="I31"/>
  <c r="I167" s="1"/>
  <c r="J31"/>
  <c r="K31"/>
  <c r="D32"/>
  <c r="E32"/>
  <c r="F32"/>
  <c r="G32"/>
  <c r="H32"/>
  <c r="I32"/>
  <c r="J32"/>
  <c r="K32"/>
  <c r="D38"/>
  <c r="E38"/>
  <c r="F38"/>
  <c r="G38"/>
  <c r="H38"/>
  <c r="I38"/>
  <c r="J38"/>
  <c r="K38"/>
  <c r="D39"/>
  <c r="E39"/>
  <c r="F39"/>
  <c r="G39"/>
  <c r="H39"/>
  <c r="I39"/>
  <c r="J39"/>
  <c r="K39"/>
  <c r="D41"/>
  <c r="E41"/>
  <c r="F41"/>
  <c r="G41"/>
  <c r="H41"/>
  <c r="I41"/>
  <c r="J41"/>
  <c r="K41"/>
  <c r="D48"/>
  <c r="E48"/>
  <c r="F48"/>
  <c r="G48"/>
  <c r="H48"/>
  <c r="I48"/>
  <c r="J48"/>
  <c r="K48"/>
  <c r="D53"/>
  <c r="D52"/>
  <c r="D169"/>
  <c r="E53"/>
  <c r="E52"/>
  <c r="E169"/>
  <c r="F53"/>
  <c r="F52"/>
  <c r="F169"/>
  <c r="G53"/>
  <c r="G52"/>
  <c r="G169"/>
  <c r="H53"/>
  <c r="H52"/>
  <c r="H169"/>
  <c r="I53"/>
  <c r="I52"/>
  <c r="I169"/>
  <c r="J53"/>
  <c r="J52"/>
  <c r="J169"/>
  <c r="K53"/>
  <c r="K52"/>
  <c r="K169"/>
  <c r="D54"/>
  <c r="E54"/>
  <c r="F54"/>
  <c r="G54"/>
  <c r="H54"/>
  <c r="I54"/>
  <c r="J54"/>
  <c r="K54"/>
  <c r="D60"/>
  <c r="E60"/>
  <c r="F60"/>
  <c r="G60"/>
  <c r="H60"/>
  <c r="I60"/>
  <c r="J60"/>
  <c r="K60"/>
  <c r="D64"/>
  <c r="E64"/>
  <c r="F64"/>
  <c r="G64"/>
  <c r="H64"/>
  <c r="I64"/>
  <c r="J64"/>
  <c r="K64"/>
  <c r="D65"/>
  <c r="D56"/>
  <c r="D168"/>
  <c r="E65"/>
  <c r="E56"/>
  <c r="E168"/>
  <c r="F65"/>
  <c r="F56"/>
  <c r="F168"/>
  <c r="G65"/>
  <c r="G56"/>
  <c r="G168"/>
  <c r="H65"/>
  <c r="H56"/>
  <c r="H168"/>
  <c r="I65"/>
  <c r="I56"/>
  <c r="I168"/>
  <c r="J65"/>
  <c r="J56"/>
  <c r="J168"/>
  <c r="K65"/>
  <c r="K56"/>
  <c r="K168"/>
  <c r="D66"/>
  <c r="D192"/>
  <c r="E66"/>
  <c r="F66"/>
  <c r="G66"/>
  <c r="H66"/>
  <c r="H192"/>
  <c r="I66"/>
  <c r="J66"/>
  <c r="K66"/>
  <c r="D68"/>
  <c r="E68"/>
  <c r="F68"/>
  <c r="G68"/>
  <c r="H68"/>
  <c r="I68"/>
  <c r="J68"/>
  <c r="K68"/>
  <c r="D69"/>
  <c r="E69"/>
  <c r="F69"/>
  <c r="G69"/>
  <c r="H69"/>
  <c r="I69"/>
  <c r="J69"/>
  <c r="K69"/>
  <c r="D73"/>
  <c r="E73"/>
  <c r="F73"/>
  <c r="G73"/>
  <c r="H73"/>
  <c r="I73"/>
  <c r="J73"/>
  <c r="K73"/>
  <c r="D74"/>
  <c r="E74"/>
  <c r="F74"/>
  <c r="G74"/>
  <c r="H74"/>
  <c r="I74"/>
  <c r="J74"/>
  <c r="K74"/>
  <c r="D79"/>
  <c r="E79"/>
  <c r="F79"/>
  <c r="G79"/>
  <c r="H79"/>
  <c r="I79"/>
  <c r="J79"/>
  <c r="K79"/>
  <c r="D84"/>
  <c r="E84"/>
  <c r="E184"/>
  <c r="F84"/>
  <c r="G84"/>
  <c r="H84"/>
  <c r="H184"/>
  <c r="I84"/>
  <c r="I184"/>
  <c r="J84"/>
  <c r="K84"/>
  <c r="D90"/>
  <c r="E90"/>
  <c r="F90"/>
  <c r="G90"/>
  <c r="H90"/>
  <c r="I90"/>
  <c r="J90"/>
  <c r="K90"/>
  <c r="D96"/>
  <c r="E96"/>
  <c r="F96"/>
  <c r="G96"/>
  <c r="H96"/>
  <c r="H98"/>
  <c r="I96"/>
  <c r="J96"/>
  <c r="K96"/>
  <c r="D98"/>
  <c r="E98"/>
  <c r="F98"/>
  <c r="G98"/>
  <c r="I98"/>
  <c r="J98"/>
  <c r="K98"/>
  <c r="D99"/>
  <c r="D78"/>
  <c r="D172"/>
  <c r="E99"/>
  <c r="E78"/>
  <c r="E172"/>
  <c r="F99"/>
  <c r="F78"/>
  <c r="F172"/>
  <c r="G99"/>
  <c r="G78"/>
  <c r="G172"/>
  <c r="H99"/>
  <c r="H78"/>
  <c r="H172"/>
  <c r="I99"/>
  <c r="I78"/>
  <c r="I172"/>
  <c r="J99"/>
  <c r="J78"/>
  <c r="J172"/>
  <c r="K99"/>
  <c r="K78"/>
  <c r="K172"/>
  <c r="D102"/>
  <c r="E102"/>
  <c r="F102"/>
  <c r="G102"/>
  <c r="H102"/>
  <c r="I102"/>
  <c r="J102"/>
  <c r="K102"/>
  <c r="D110"/>
  <c r="E110"/>
  <c r="F110"/>
  <c r="G110"/>
  <c r="H110"/>
  <c r="I110"/>
  <c r="J110"/>
  <c r="K110"/>
  <c r="D111"/>
  <c r="E111"/>
  <c r="F111"/>
  <c r="G111"/>
  <c r="H111"/>
  <c r="I111"/>
  <c r="J111"/>
  <c r="K111"/>
  <c r="D116"/>
  <c r="D101"/>
  <c r="D173"/>
  <c r="E116"/>
  <c r="E101"/>
  <c r="E173"/>
  <c r="F116"/>
  <c r="F101"/>
  <c r="F173"/>
  <c r="G116"/>
  <c r="G101"/>
  <c r="G173"/>
  <c r="H116"/>
  <c r="H101"/>
  <c r="H173"/>
  <c r="I116"/>
  <c r="I101"/>
  <c r="I173"/>
  <c r="J116"/>
  <c r="J101"/>
  <c r="J173"/>
  <c r="K116"/>
  <c r="K101"/>
  <c r="K173"/>
  <c r="D118"/>
  <c r="D119"/>
  <c r="E119"/>
  <c r="F119"/>
  <c r="G119"/>
  <c r="H119"/>
  <c r="I119"/>
  <c r="J119"/>
  <c r="K119"/>
  <c r="D120"/>
  <c r="E120"/>
  <c r="E118"/>
  <c r="E174"/>
  <c r="F120"/>
  <c r="F118"/>
  <c r="F174"/>
  <c r="G120"/>
  <c r="G118"/>
  <c r="G174"/>
  <c r="H120"/>
  <c r="H118"/>
  <c r="H174"/>
  <c r="I120"/>
  <c r="I118"/>
  <c r="I174"/>
  <c r="J120"/>
  <c r="J118"/>
  <c r="J174"/>
  <c r="K120"/>
  <c r="K118"/>
  <c r="K174"/>
  <c r="D125"/>
  <c r="E125"/>
  <c r="F125"/>
  <c r="G125"/>
  <c r="H125"/>
  <c r="I125"/>
  <c r="J125"/>
  <c r="K125"/>
  <c r="D140"/>
  <c r="E140"/>
  <c r="F140"/>
  <c r="G140"/>
  <c r="H140"/>
  <c r="I140"/>
  <c r="J140"/>
  <c r="K140"/>
  <c r="D141"/>
  <c r="E141"/>
  <c r="F141"/>
  <c r="G141"/>
  <c r="H141"/>
  <c r="I141"/>
  <c r="J141"/>
  <c r="K141"/>
  <c r="D165"/>
  <c r="E165"/>
  <c r="F165"/>
  <c r="G165"/>
  <c r="H165"/>
  <c r="I165"/>
  <c r="J165"/>
  <c r="K165"/>
  <c r="F167"/>
  <c r="G167"/>
  <c r="J167"/>
  <c r="K167"/>
  <c r="D170"/>
  <c r="E170"/>
  <c r="F170"/>
  <c r="G170"/>
  <c r="H170"/>
  <c r="I170"/>
  <c r="J170"/>
  <c r="K170"/>
  <c r="D171"/>
  <c r="E171"/>
  <c r="F171"/>
  <c r="G171"/>
  <c r="H171"/>
  <c r="I171"/>
  <c r="J171"/>
  <c r="K171"/>
  <c r="D174"/>
  <c r="D176"/>
  <c r="E176"/>
  <c r="F176"/>
  <c r="G176"/>
  <c r="H176"/>
  <c r="I176"/>
  <c r="J176"/>
  <c r="K176"/>
  <c r="E178"/>
  <c r="F178"/>
  <c r="G178"/>
  <c r="H178"/>
  <c r="I178"/>
  <c r="J178"/>
  <c r="K178"/>
  <c r="E179"/>
  <c r="F179"/>
  <c r="G179"/>
  <c r="H179"/>
  <c r="I179"/>
  <c r="J179"/>
  <c r="K179"/>
  <c r="E180"/>
  <c r="F180"/>
  <c r="G180"/>
  <c r="H180"/>
  <c r="I180"/>
  <c r="J180"/>
  <c r="K180"/>
  <c r="E181"/>
  <c r="E152" i="3" s="1"/>
  <c r="F181" i="2"/>
  <c r="F152" i="3" s="1"/>
  <c r="G181" i="2"/>
  <c r="G151" i="3"/>
  <c r="H181" i="2"/>
  <c r="H152" i="3" s="1"/>
  <c r="H151"/>
  <c r="I181" i="2"/>
  <c r="I151" i="3" s="1"/>
  <c r="J181" i="2"/>
  <c r="J151" i="3" s="1"/>
  <c r="K181" i="2"/>
  <c r="K152" i="3" s="1"/>
  <c r="K151"/>
  <c r="E182" i="2"/>
  <c r="F182"/>
  <c r="G182"/>
  <c r="H182"/>
  <c r="I182"/>
  <c r="J182"/>
  <c r="K182"/>
  <c r="E183"/>
  <c r="F183"/>
  <c r="G183"/>
  <c r="H183"/>
  <c r="I183"/>
  <c r="J183"/>
  <c r="K183"/>
  <c r="F184"/>
  <c r="G184"/>
  <c r="J184"/>
  <c r="K184"/>
  <c r="E185"/>
  <c r="F185"/>
  <c r="G185"/>
  <c r="H185"/>
  <c r="I185"/>
  <c r="J185"/>
  <c r="K185"/>
  <c r="E186"/>
  <c r="F186"/>
  <c r="G186"/>
  <c r="H186"/>
  <c r="I186"/>
  <c r="J186"/>
  <c r="K186"/>
  <c r="D188"/>
  <c r="E188"/>
  <c r="F188"/>
  <c r="G188"/>
  <c r="H188"/>
  <c r="I188"/>
  <c r="J188"/>
  <c r="K188"/>
  <c r="E189"/>
  <c r="F189"/>
  <c r="I189"/>
  <c r="J189"/>
  <c r="D190"/>
  <c r="E190"/>
  <c r="F190"/>
  <c r="G190"/>
  <c r="H190"/>
  <c r="I190"/>
  <c r="J190"/>
  <c r="K190"/>
  <c r="D191"/>
  <c r="E191"/>
  <c r="F191"/>
  <c r="G191"/>
  <c r="H191"/>
  <c r="I191"/>
  <c r="J191"/>
  <c r="K191"/>
  <c r="E192"/>
  <c r="F192"/>
  <c r="G192"/>
  <c r="I192"/>
  <c r="J192"/>
  <c r="K192"/>
  <c r="D193"/>
  <c r="E193"/>
  <c r="F193"/>
  <c r="G193"/>
  <c r="H193"/>
  <c r="I193"/>
  <c r="J193"/>
  <c r="K193"/>
  <c r="I194"/>
  <c r="D194" s="1"/>
  <c r="L194"/>
  <c r="G194"/>
  <c r="M194"/>
  <c r="H194" s="1"/>
  <c r="N194"/>
  <c r="O194"/>
  <c r="J194" s="1"/>
  <c r="E194" s="1"/>
  <c r="P194"/>
  <c r="K194"/>
  <c r="F194" s="1"/>
  <c r="D195"/>
  <c r="E195"/>
  <c r="F195"/>
  <c r="G195"/>
  <c r="H195"/>
  <c r="I195"/>
  <c r="J195"/>
  <c r="K195"/>
  <c r="D196"/>
  <c r="E196"/>
  <c r="F196"/>
  <c r="G196"/>
  <c r="H196"/>
  <c r="I196"/>
  <c r="J196"/>
  <c r="K196"/>
  <c r="D197"/>
  <c r="E197"/>
  <c r="F197"/>
  <c r="G197"/>
  <c r="H197"/>
  <c r="I197"/>
  <c r="J197"/>
  <c r="K197"/>
  <c r="D198"/>
  <c r="E198"/>
  <c r="F198"/>
  <c r="G198"/>
  <c r="H198"/>
  <c r="I198"/>
  <c r="J198"/>
  <c r="K198"/>
  <c r="D199"/>
  <c r="E199"/>
  <c r="F199"/>
  <c r="G199"/>
  <c r="H199"/>
  <c r="I199"/>
  <c r="J199"/>
  <c r="K199"/>
  <c r="D200"/>
  <c r="E200"/>
  <c r="F200"/>
  <c r="G200"/>
  <c r="H200"/>
  <c r="I200"/>
  <c r="J200"/>
  <c r="K200"/>
  <c r="D201"/>
  <c r="E201"/>
  <c r="F201"/>
  <c r="G201"/>
  <c r="H201"/>
  <c r="I201"/>
  <c r="J201"/>
  <c r="K201"/>
  <c r="D202"/>
  <c r="E202"/>
  <c r="F202"/>
  <c r="H202"/>
  <c r="I202"/>
  <c r="J202"/>
  <c r="D203"/>
  <c r="E203"/>
  <c r="F203"/>
  <c r="G203"/>
  <c r="H203"/>
  <c r="I203"/>
  <c r="J203"/>
  <c r="K203"/>
  <c r="D204"/>
  <c r="E204"/>
  <c r="F204"/>
  <c r="G204"/>
  <c r="H204"/>
  <c r="I204"/>
  <c r="J204"/>
  <c r="K204"/>
  <c r="D205"/>
  <c r="E205"/>
  <c r="F205"/>
  <c r="H205"/>
  <c r="I205"/>
  <c r="J205"/>
  <c r="D206"/>
  <c r="E206"/>
  <c r="F206"/>
  <c r="G206"/>
  <c r="H206"/>
  <c r="I206"/>
  <c r="J206"/>
  <c r="K206"/>
  <c r="D207"/>
  <c r="E207"/>
  <c r="F207"/>
  <c r="G207"/>
  <c r="H207"/>
  <c r="I207"/>
  <c r="J207"/>
  <c r="K207"/>
  <c r="D208"/>
  <c r="E208"/>
  <c r="F208"/>
  <c r="H208"/>
  <c r="I208"/>
  <c r="J208"/>
  <c r="D209"/>
  <c r="E209"/>
  <c r="F209"/>
  <c r="G209"/>
  <c r="H209"/>
  <c r="I209"/>
  <c r="J209"/>
  <c r="K209"/>
  <c r="D210"/>
  <c r="E210"/>
  <c r="F210"/>
  <c r="H210"/>
  <c r="I210"/>
  <c r="J210"/>
  <c r="D211"/>
  <c r="E211"/>
  <c r="F211"/>
  <c r="H211"/>
  <c r="I211"/>
  <c r="J211"/>
  <c r="D212"/>
  <c r="E212"/>
  <c r="F212"/>
  <c r="G212"/>
  <c r="H212"/>
  <c r="I212"/>
  <c r="J212"/>
  <c r="K212"/>
  <c r="D213"/>
  <c r="E213"/>
  <c r="F213"/>
  <c r="G213"/>
  <c r="H213"/>
  <c r="I213"/>
  <c r="J213"/>
  <c r="K213"/>
  <c r="D214"/>
  <c r="E214"/>
  <c r="F214"/>
  <c r="G214"/>
  <c r="H214"/>
  <c r="I214"/>
  <c r="J214"/>
  <c r="K214"/>
  <c r="D215"/>
  <c r="E215"/>
  <c r="F215"/>
  <c r="H215"/>
  <c r="I215"/>
  <c r="J215"/>
  <c r="D216"/>
  <c r="E216"/>
  <c r="F216"/>
  <c r="G216"/>
  <c r="H216"/>
  <c r="I216"/>
  <c r="J216"/>
  <c r="K216"/>
  <c r="D217"/>
  <c r="E217"/>
  <c r="F217"/>
  <c r="G217"/>
  <c r="H217"/>
  <c r="I217"/>
  <c r="J217"/>
  <c r="K217"/>
  <c r="D218"/>
  <c r="E218"/>
  <c r="F218"/>
  <c r="G218"/>
  <c r="H218"/>
  <c r="I218"/>
  <c r="J218"/>
  <c r="K218"/>
  <c r="D219"/>
  <c r="E219"/>
  <c r="F219"/>
  <c r="H219"/>
  <c r="I219"/>
  <c r="J219"/>
  <c r="D220"/>
  <c r="E220"/>
  <c r="F220"/>
  <c r="G220"/>
  <c r="H220"/>
  <c r="I220"/>
  <c r="J220"/>
  <c r="K220"/>
  <c r="D221"/>
  <c r="E221"/>
  <c r="F221"/>
  <c r="G221"/>
  <c r="H221"/>
  <c r="I221"/>
  <c r="J221"/>
  <c r="K221"/>
  <c r="D222"/>
  <c r="E222"/>
  <c r="F222"/>
  <c r="G222"/>
  <c r="H222"/>
  <c r="I222"/>
  <c r="J222"/>
  <c r="K222"/>
  <c r="D223"/>
  <c r="E223"/>
  <c r="F223"/>
  <c r="G223"/>
  <c r="H223"/>
  <c r="I223"/>
  <c r="J223"/>
  <c r="K223"/>
  <c r="D224"/>
  <c r="E224"/>
  <c r="F224"/>
  <c r="G224"/>
  <c r="H224"/>
  <c r="I224"/>
  <c r="J224"/>
  <c r="K224"/>
  <c r="I294" i="5"/>
  <c r="E294"/>
  <c r="H5" i="2"/>
  <c r="H166" s="1"/>
  <c r="D5"/>
  <c r="D166"/>
  <c r="K14" i="4"/>
  <c r="K151"/>
  <c r="K5"/>
  <c r="K150"/>
  <c r="I60" i="3"/>
  <c r="I141"/>
  <c r="F5"/>
  <c r="F134"/>
  <c r="K146" i="5"/>
  <c r="G146"/>
  <c r="H183" i="3"/>
  <c r="D182"/>
  <c r="I79"/>
  <c r="I77"/>
  <c r="I142"/>
  <c r="E79"/>
  <c r="E77"/>
  <c r="E142"/>
  <c r="J60"/>
  <c r="J141"/>
  <c r="E187"/>
  <c r="I183"/>
  <c r="E183"/>
  <c r="I182"/>
  <c r="E182"/>
  <c r="G152"/>
  <c r="K149"/>
  <c r="J79"/>
  <c r="J77"/>
  <c r="J142"/>
  <c r="F79"/>
  <c r="F77"/>
  <c r="F142"/>
  <c r="K60"/>
  <c r="K141"/>
  <c r="G60"/>
  <c r="G141"/>
  <c r="G14" i="4"/>
  <c r="G151"/>
  <c r="G5"/>
  <c r="G150" s="1"/>
  <c r="F15" i="3"/>
  <c r="F136"/>
  <c r="D183"/>
  <c r="F60"/>
  <c r="F141"/>
  <c r="K219" i="2"/>
  <c r="G219"/>
  <c r="K215"/>
  <c r="G215"/>
  <c r="K211"/>
  <c r="G211"/>
  <c r="K210"/>
  <c r="G210"/>
  <c r="K180" i="4"/>
  <c r="G180"/>
  <c r="E15" i="3" l="1"/>
  <c r="E136" s="1"/>
  <c r="E173"/>
  <c r="E44"/>
  <c r="J44"/>
  <c r="J173"/>
  <c r="I172"/>
  <c r="I181"/>
  <c r="I40"/>
  <c r="I137" s="1"/>
  <c r="F40"/>
  <c r="F137" s="1"/>
  <c r="F172"/>
  <c r="F181"/>
  <c r="I11"/>
  <c r="I135" s="1"/>
  <c r="I165"/>
  <c r="H15"/>
  <c r="H136" s="1"/>
  <c r="H44"/>
  <c r="H173"/>
  <c r="F11"/>
  <c r="F135" s="1"/>
  <c r="F165"/>
  <c r="D165"/>
  <c r="I152"/>
  <c r="G165"/>
  <c r="F151"/>
  <c r="D40"/>
  <c r="D137" s="1"/>
  <c r="I15"/>
  <c r="I136" s="1"/>
  <c r="F173"/>
  <c r="I5"/>
  <c r="I134" s="1"/>
  <c r="H247" i="5"/>
  <c r="D247"/>
  <c r="H246"/>
  <c r="D246"/>
  <c r="H245"/>
  <c r="H281" s="1"/>
  <c r="H293" s="1"/>
  <c r="H288" s="1"/>
  <c r="H294" s="1"/>
  <c r="D245"/>
  <c r="D281" s="1"/>
  <c r="D293" s="1"/>
  <c r="D288" s="1"/>
  <c r="D294" s="1"/>
  <c r="D181" i="3"/>
  <c r="I265" i="5"/>
  <c r="E265"/>
  <c r="H172" i="3" l="1"/>
  <c r="H181"/>
  <c r="H40"/>
  <c r="H137" s="1"/>
  <c r="E40"/>
  <c r="E137" s="1"/>
  <c r="E172"/>
  <c r="E181"/>
  <c r="J172"/>
  <c r="J181"/>
</calcChain>
</file>

<file path=xl/sharedStrings.xml><?xml version="1.0" encoding="utf-8"?>
<sst xmlns="http://schemas.openxmlformats.org/spreadsheetml/2006/main" count="2921" uniqueCount="1002">
  <si>
    <t>PERFORMANCE ASSESSMENT SYSTEM (PAS) PROJECT</t>
  </si>
  <si>
    <t>GENERAL INFORMATION</t>
  </si>
  <si>
    <t>S.No</t>
  </si>
  <si>
    <t>Description of data elements</t>
  </si>
  <si>
    <t>Unit</t>
  </si>
  <si>
    <t>FY 2008-09</t>
  </si>
  <si>
    <t>FY 2009-10</t>
  </si>
  <si>
    <t>FY 2010-11</t>
  </si>
  <si>
    <t>FY 2011-12</t>
  </si>
  <si>
    <t>FY 2012-13</t>
  </si>
  <si>
    <t>FY 2013-14</t>
  </si>
  <si>
    <t>FY 2014-15</t>
  </si>
  <si>
    <t>Demographics</t>
  </si>
  <si>
    <t>Population (Census 2001/2011)</t>
  </si>
  <si>
    <t>Persons</t>
  </si>
  <si>
    <t>Decadal Growth Rate of the City</t>
  </si>
  <si>
    <t>%</t>
  </si>
  <si>
    <t>Population (Present Year)</t>
  </si>
  <si>
    <t>Number of Households (Census 2001/2011)</t>
  </si>
  <si>
    <t>Number</t>
  </si>
  <si>
    <t>Number of Households (Present Year)</t>
  </si>
  <si>
    <t>Family Size (Census 2001/2011)</t>
  </si>
  <si>
    <t>Family Size (Present Year)</t>
  </si>
  <si>
    <t>Number of Slums (2001/2011)</t>
  </si>
  <si>
    <t>Number of Slums (Present Year)</t>
  </si>
  <si>
    <t>Number of Slum Households (2001/2011)</t>
  </si>
  <si>
    <t>Number of Slum Households (Present Year)</t>
  </si>
  <si>
    <t>Number of Properties (2001/2011)</t>
  </si>
  <si>
    <t>Number of Properties (Present Year)</t>
  </si>
  <si>
    <t>Number of Election Wards (2001/2011)</t>
  </si>
  <si>
    <t>Number of Election Wards (Present Year)</t>
  </si>
  <si>
    <t>Town/City Area (Census 2001/2011)</t>
  </si>
  <si>
    <t>sq.km</t>
  </si>
  <si>
    <t>Present Town/City Area</t>
  </si>
  <si>
    <t>Population Density (Present Year)</t>
  </si>
  <si>
    <t>Persons / sq. km</t>
  </si>
  <si>
    <t>Number of Commercial and other establishments (offices, institutions, markets), Hotels and Restaurants (Year 2001/2011)</t>
  </si>
  <si>
    <t>Number of Commercial and other establishments (offices, institutions, markets,Hotels and Restaurants)(Present Year)</t>
  </si>
  <si>
    <t>Remark</t>
  </si>
  <si>
    <t/>
  </si>
  <si>
    <t>Service Provider Details - Water Supply</t>
  </si>
  <si>
    <t>Name of Town/City</t>
  </si>
  <si>
    <t>Name of the Department/Unit</t>
  </si>
  <si>
    <t>Name of the Head of Department/Unit</t>
  </si>
  <si>
    <t>Designation of the Department Head</t>
  </si>
  <si>
    <t>Address</t>
  </si>
  <si>
    <t>Telephone Number</t>
  </si>
  <si>
    <t>Mobile Number</t>
  </si>
  <si>
    <t>Fax Number</t>
  </si>
  <si>
    <t>Email</t>
  </si>
  <si>
    <t>Website</t>
  </si>
  <si>
    <t>Name of the Contact Person</t>
  </si>
  <si>
    <t>Designation of the contact person</t>
  </si>
  <si>
    <t>Service Provider Details - Sewerage and Drainage</t>
  </si>
  <si>
    <t>Name of Town/ City</t>
  </si>
  <si>
    <t xml:space="preserve">Email </t>
  </si>
  <si>
    <t>Email ID</t>
  </si>
  <si>
    <t>Service Provider Details - Solid Waste Management</t>
  </si>
  <si>
    <t>Name of Town/Utility</t>
  </si>
  <si>
    <t>Name of the Department</t>
  </si>
  <si>
    <t>Name of the Head of the Department</t>
  </si>
  <si>
    <t>Designation of the Head of the Department</t>
  </si>
  <si>
    <t>Designation of the Contact Person</t>
  </si>
  <si>
    <t>Service Provider Details - Slums</t>
  </si>
  <si>
    <t>Name of the Contact Person for Information related to slums</t>
  </si>
  <si>
    <t xml:space="preserve">Designation </t>
  </si>
  <si>
    <t>WATER SUPPLY</t>
  </si>
  <si>
    <t>COVERAGE OF WATER SUPPLY CONNECTIONS</t>
  </si>
  <si>
    <t>Water Service Coverage - Number of Connections</t>
  </si>
  <si>
    <t>Domestic Connections (Metered Functional)</t>
  </si>
  <si>
    <t>Domestic Connections (Metered Non-Functional)</t>
  </si>
  <si>
    <t>Domestic Connections (Unmetered)</t>
  </si>
  <si>
    <t>Domestic connections (Total)</t>
  </si>
  <si>
    <t>Bulk supply Apartments (Metered Functional)</t>
  </si>
  <si>
    <t>Bulk supply Apartments (Metered Non-Functional)</t>
  </si>
  <si>
    <t>Bulk supply Apartments (Unmetered)</t>
  </si>
  <si>
    <t>Bulk supply Apartments (Total)</t>
  </si>
  <si>
    <t>Bulk supply Layouts/Societies (Metered Functional)</t>
  </si>
  <si>
    <t>Bulk supply Layouts/Societies (Metered Non-Functional)</t>
  </si>
  <si>
    <t>Bulk supply Layouts/societies (Unmetered)</t>
  </si>
  <si>
    <t>Bulk supply Layouts/Societies (Total)</t>
  </si>
  <si>
    <t>Others - Specify (Metered Funtional)</t>
  </si>
  <si>
    <t>Others - Specify (Metered Non-Functional)</t>
  </si>
  <si>
    <t>Others  - Specify (Unmetered)</t>
  </si>
  <si>
    <t>Others - Specify  (Total)</t>
  </si>
  <si>
    <t>Total Number of Water Supply Connections - Residential</t>
  </si>
  <si>
    <t>Water Service Coverage - Households Served</t>
  </si>
  <si>
    <t>Households served by Domestic Connections</t>
  </si>
  <si>
    <t>Households served by Bulk supply - Apartments</t>
  </si>
  <si>
    <t>Households served by Bulk supply - Layouts/Societies</t>
  </si>
  <si>
    <t>Total Households served with Water Supply</t>
  </si>
  <si>
    <t>*Households served by own sources such as wells, handpumps shall not be included</t>
  </si>
  <si>
    <t>PER CAPITA SUPPLY OF WATER</t>
  </si>
  <si>
    <t>LPCD</t>
  </si>
  <si>
    <t>Water Production Capacity</t>
  </si>
  <si>
    <t>Installed Capacity of Treatment Plants for Surface Water Sources</t>
  </si>
  <si>
    <t>MLD</t>
  </si>
  <si>
    <t>Volume of water produced through Surface Water Sources</t>
  </si>
  <si>
    <t>Installed Capacity of Treatment Plants for Ground Water Sources</t>
  </si>
  <si>
    <t>Volume of water produced through Ground water (power pumps)</t>
  </si>
  <si>
    <t>Volume of water produced through any Other Sources</t>
  </si>
  <si>
    <t>Total Installed Capacity</t>
  </si>
  <si>
    <t xml:space="preserve">Total Volume of water produced </t>
  </si>
  <si>
    <t xml:space="preserve">Water Consumption </t>
  </si>
  <si>
    <t>Volume of water billed from Domestic Connections</t>
  </si>
  <si>
    <t>Volume of water billed from Bulk supply Apartments</t>
  </si>
  <si>
    <t>Volume of water billed from Bulk supply Layouts/Societies</t>
  </si>
  <si>
    <t>Volume of water billed from Non domestic Connections</t>
  </si>
  <si>
    <t>Volume of water billed from Public taps</t>
  </si>
  <si>
    <t xml:space="preserve">Volume of water billed from any other sources </t>
  </si>
  <si>
    <t>Total Volume of water billed</t>
  </si>
  <si>
    <t>Total Volume of water unbilled (free supplies to Public taps)</t>
  </si>
  <si>
    <t>`</t>
  </si>
  <si>
    <t>Total Volume of water unbilled (free connections eg. Religious institutions etc)</t>
  </si>
  <si>
    <t>EXTENT  OF NON REVENUE WATER (NRW)</t>
  </si>
  <si>
    <t>Total Volume of Water Produced</t>
  </si>
  <si>
    <t>Total Volume of Water Billed</t>
  </si>
  <si>
    <t>EXTENT OF METERING OF WATER SUPPLY CONNECTIONS</t>
  </si>
  <si>
    <t>Non domestic incl. commercial/Indus/Instl. (Metered Functional)</t>
  </si>
  <si>
    <t>Non domestic incl. commercial/Indus/Instl. (Metered Non-Functional)</t>
  </si>
  <si>
    <t>Non domestic incl. commercial/Indus/Instl. (Unmetered)</t>
  </si>
  <si>
    <t>Non domestic incl. commercial/Indus/Instl. (Total)</t>
  </si>
  <si>
    <t>Public taps (Metered Functional)</t>
  </si>
  <si>
    <t>Public taps (Metered Non-Functional)</t>
  </si>
  <si>
    <t>Public taps (Unmetered)</t>
  </si>
  <si>
    <t>Public Taps (Total)</t>
  </si>
  <si>
    <t xml:space="preserve">Total number of metered and functional connections (domestic, bulk supply, others) </t>
  </si>
  <si>
    <t>Total number of Water Supply Connections</t>
  </si>
  <si>
    <t>CONTINUITY OF WATER SUPPLY</t>
  </si>
  <si>
    <t>Hours per Day</t>
  </si>
  <si>
    <t>Water Supply Frequency</t>
  </si>
  <si>
    <t>Days of supply per month</t>
  </si>
  <si>
    <t>Average duration of each supply</t>
  </si>
  <si>
    <t>Hours</t>
  </si>
  <si>
    <t>EFFECIENCY OF REDRESSAL OF COMPLAINTS</t>
  </si>
  <si>
    <t>Consumer Services</t>
  </si>
  <si>
    <t>Complaints received during the year</t>
  </si>
  <si>
    <t>Complaints resolved within 24 hours during the year</t>
  </si>
  <si>
    <t>QUALITY OF WATER SUPPLIED</t>
  </si>
  <si>
    <t>Treated Water Quality Surveilance</t>
  </si>
  <si>
    <t>Residual Chlorine - No. of Samples taken at the source/outlet of Water Treatment Plant (in a year)</t>
  </si>
  <si>
    <t>Residual Chlorine - No. of Samples taken at intermediate points (in a year)</t>
  </si>
  <si>
    <t>Residual Chlorine - No. of Samples taken at consumer end (in a year)</t>
  </si>
  <si>
    <t>Total Samples taken for Residual Chlorine tests (if location wise samples are not available)</t>
  </si>
  <si>
    <t>Total Samples taken for Residual Chlorine tests</t>
  </si>
  <si>
    <t>Number of Samples Passed</t>
  </si>
  <si>
    <t>Physical/Chemical - No. of Samples taken at the source/outlet of Water Treatment Plant (in a year)</t>
  </si>
  <si>
    <t>Physical/Chemical - No. of Samples taken at intermediate points (in a year)</t>
  </si>
  <si>
    <t>Physical/Chemical - No. of Samples taken at consumer end (in a year)</t>
  </si>
  <si>
    <t>Total Samples taken for Physical/Chemical tests (if location wise samples are not available)</t>
  </si>
  <si>
    <t>Total Samples taken for Physical and Chemical tests</t>
  </si>
  <si>
    <t>Bacteriological - No. of Samples taken at the source/outlet of Water Treatment Plant (in a year)</t>
  </si>
  <si>
    <t>Bacteriological - No. of Samples taken at intermediate points (in a year)</t>
  </si>
  <si>
    <t>Bacteriological - No. of Samples taken at consumer end (in a year)</t>
  </si>
  <si>
    <t>Total Samples taken for Bacteriological tests (if location wise samples are not available)</t>
  </si>
  <si>
    <t>Total Samples taken for Bacteriological tests</t>
  </si>
  <si>
    <t>Total Number of Samples taken for all types of tests</t>
  </si>
  <si>
    <t>Total Tests Passed</t>
  </si>
  <si>
    <t>COST RECOVERY IN WATER SUPPLY SERVICES</t>
  </si>
  <si>
    <t>Financial Information - Operating Expenses</t>
  </si>
  <si>
    <t>Regular Staff and administration</t>
  </si>
  <si>
    <t>Rs. Lakhs</t>
  </si>
  <si>
    <t>Outsourced/Contract Staff Costs</t>
  </si>
  <si>
    <t>Electricity Charges/Fuel Costs</t>
  </si>
  <si>
    <t>Chemical Costs</t>
  </si>
  <si>
    <t>Repairs/Maintenance Costs</t>
  </si>
  <si>
    <t>Bulk (Raw/Treated) Water Charges</t>
  </si>
  <si>
    <t>Other Costs</t>
  </si>
  <si>
    <t>Total Operating Expenditure</t>
  </si>
  <si>
    <t>Financial Information - Operating Revenues</t>
  </si>
  <si>
    <t>Arrears at the beginning of previous year</t>
  </si>
  <si>
    <t>Revenue demand from user charges</t>
  </si>
  <si>
    <t>Revenue demand from tax/cess - Water Service only</t>
  </si>
  <si>
    <t>Revenue demand from other revenues (eg. connection costs/Donations etc)</t>
  </si>
  <si>
    <t>Total Revenue Demand for previous year</t>
  </si>
  <si>
    <t>COLLECTION EFFICIENCY OF WATER SUPPLY RELATED CHARGES</t>
  </si>
  <si>
    <t>Total Revenue Demand for previous year (from user charges, taxes etc)</t>
  </si>
  <si>
    <t xml:space="preserve">Collection against arrears </t>
  </si>
  <si>
    <t xml:space="preserve">Collection against the current demand of previous year </t>
  </si>
  <si>
    <t>Additional Information</t>
  </si>
  <si>
    <t>Staff Information</t>
  </si>
  <si>
    <t>Senior Management (Sanctioned)</t>
  </si>
  <si>
    <t>Senior Management (Working)</t>
  </si>
  <si>
    <t>Engineers (Sanctioned)</t>
  </si>
  <si>
    <t>Engineers (Working)</t>
  </si>
  <si>
    <t>Clerks/Accountants (Sanctioned)</t>
  </si>
  <si>
    <t>Clerks/Accountants (Working)</t>
  </si>
  <si>
    <t>Work Inspectors/Meter Readers (Sanctioned)</t>
  </si>
  <si>
    <t>Work Inspectors/Meter Readers (Working)</t>
  </si>
  <si>
    <t>Electricians/Fitters (Sanctioned)</t>
  </si>
  <si>
    <t>Electricians/Fitters (Working)</t>
  </si>
  <si>
    <t>Lines men/plumbers (Sanctioned)</t>
  </si>
  <si>
    <t>Lines men/plumbers (Working)</t>
  </si>
  <si>
    <t>Labourers (Sanctioned)</t>
  </si>
  <si>
    <t>Labourers (Working)</t>
  </si>
  <si>
    <t>Total (Sanctioned)</t>
  </si>
  <si>
    <t>Total (Working)</t>
  </si>
  <si>
    <t>Connection Costs for Water Connections</t>
  </si>
  <si>
    <t>Residential - General</t>
  </si>
  <si>
    <t>Rs</t>
  </si>
  <si>
    <t>Residential - Urban Poor</t>
  </si>
  <si>
    <t>Institutional</t>
  </si>
  <si>
    <t>Commercial</t>
  </si>
  <si>
    <t>Industrial</t>
  </si>
  <si>
    <t>Water Tariff Structure - Flat Rate Tariff</t>
  </si>
  <si>
    <t>Rs./Month</t>
  </si>
  <si>
    <t>Water Tariff Structure - Volumetric Tariff</t>
  </si>
  <si>
    <t>Rs./KL</t>
  </si>
  <si>
    <t xml:space="preserve"> </t>
  </si>
  <si>
    <t>WATER SUPPLY INDICATOR VALUES</t>
  </si>
  <si>
    <t>Coverage of water supply connections</t>
  </si>
  <si>
    <t>Per capita supply of water (At consumer end)</t>
  </si>
  <si>
    <t>Lpcd</t>
  </si>
  <si>
    <t>Extent of metering of water connections</t>
  </si>
  <si>
    <t xml:space="preserve">Extent of Non Revenue Water </t>
  </si>
  <si>
    <t xml:space="preserve">Continuity of water supply </t>
  </si>
  <si>
    <t>Hours/Day</t>
  </si>
  <si>
    <t>Efficiency in redressal of customer complaints</t>
  </si>
  <si>
    <t>Quality of water supplied</t>
  </si>
  <si>
    <t>Cost recovery in water supply services</t>
  </si>
  <si>
    <t>Efficieny in collection of water supply related charges</t>
  </si>
  <si>
    <t>WATER SUPPLY RELIABILITY GRADES</t>
  </si>
  <si>
    <t>Indicator</t>
  </si>
  <si>
    <t>Local Action Indicators</t>
  </si>
  <si>
    <t>% of population with access to water services</t>
  </si>
  <si>
    <t>Coverage of distribution network</t>
  </si>
  <si>
    <t>Drive for identifying and regularizing illegal connections taken up</t>
  </si>
  <si>
    <t>Y/N</t>
  </si>
  <si>
    <t>% illegal connections</t>
  </si>
  <si>
    <t>% of identified illegal connections that are regularized</t>
  </si>
  <si>
    <t>% of estimated water demand over next 3 years to all current sources and ongoing source augmentation projects</t>
  </si>
  <si>
    <t>Regular annual assessment of available sources</t>
  </si>
  <si>
    <t>Per capita supply of water</t>
  </si>
  <si>
    <t>Average pressure at WDS</t>
  </si>
  <si>
    <t>meters</t>
  </si>
  <si>
    <t>Average pressure at consumer end</t>
  </si>
  <si>
    <t>Days of supply</t>
  </si>
  <si>
    <t>days</t>
  </si>
  <si>
    <t>% of tests for bacteriological</t>
  </si>
  <si>
    <t>Pump replacement</t>
  </si>
  <si>
    <t>Unit electricity cost of production of water supply</t>
  </si>
  <si>
    <t xml:space="preserve"> Rs/Kl</t>
  </si>
  <si>
    <t>% of total staff to sanctioned staff in water supply</t>
  </si>
  <si>
    <t>Total Staff (regular and contract) per 1000 water supply connections</t>
  </si>
  <si>
    <t>Ratio</t>
  </si>
  <si>
    <t>Per capita revenue expenditure</t>
  </si>
  <si>
    <t>Studies/ actions on detailed energy audits</t>
  </si>
  <si>
    <t>Average revenue per water connection</t>
  </si>
  <si>
    <t>Per capita revenue income</t>
  </si>
  <si>
    <t>Studies and actions for preliminary water audit</t>
  </si>
  <si>
    <t>% Losses from source to water treatment plant (WTP)</t>
  </si>
  <si>
    <t>% Losses from WTP to water distribution station (WDS)</t>
  </si>
  <si>
    <t xml:space="preserve">% Losses from WDS to final consumption (includes both leakage on service connections and unauthorized consumption) </t>
  </si>
  <si>
    <t>Pipe breaks per km length of network</t>
  </si>
  <si>
    <t>% of network refurbished</t>
  </si>
  <si>
    <t>km</t>
  </si>
  <si>
    <t>% Authorized and unbilled consumption to total supply</t>
  </si>
  <si>
    <t>Periodic monitoring and analysis of complaints</t>
  </si>
  <si>
    <t>Total complaints in water supply per 1000 connections per year</t>
  </si>
  <si>
    <t>% of meters that are functional</t>
  </si>
  <si>
    <t>Annual cost of losses (real and apparent)</t>
  </si>
  <si>
    <t>% of connections that are metered</t>
  </si>
  <si>
    <t>Presence of automated billing systems</t>
  </si>
  <si>
    <t>Billed arrears to total billed demand</t>
  </si>
  <si>
    <t>Updation and linkage of connections with billing systems</t>
  </si>
  <si>
    <t>Outsourcing collection systems</t>
  </si>
  <si>
    <t>SEWERAGE AND DRAINAGE</t>
  </si>
  <si>
    <t>COVERAGE OF TOILETS</t>
  </si>
  <si>
    <t>Sanitation Coverage</t>
  </si>
  <si>
    <t>Total Number of Properties in the City</t>
  </si>
  <si>
    <t>Properties with toilets</t>
  </si>
  <si>
    <t>Households dependent on functional community toilets</t>
  </si>
  <si>
    <t>Total Number of Properties with access to toilets</t>
  </si>
  <si>
    <t>COVERAGE OF SEWAGE NETWORK SERVICES</t>
  </si>
  <si>
    <t xml:space="preserve">Properties with sewer connections </t>
  </si>
  <si>
    <t>Properties with onsite sanitary disposal</t>
  </si>
  <si>
    <t>COLLECTION EFFICIENCY OF SEWAGE NETWORK</t>
  </si>
  <si>
    <t>Waste Water Production - Volume of Water Consumed and Waste Water Generated</t>
  </si>
  <si>
    <t>Volume of water consumed and billed from Domestic Connections</t>
  </si>
  <si>
    <t>Volume of water consumed and billed from Bulk supply - Apartments</t>
  </si>
  <si>
    <t>Volume of water consumed and billed from Bulk supply - Layouts/Societies</t>
  </si>
  <si>
    <t>Volume of water consumed and billed from Non domestic Connections</t>
  </si>
  <si>
    <t>Volume of water consumed (both billed and unbilled) from Public taps</t>
  </si>
  <si>
    <t>Volume of water from free supplies (other connections)</t>
  </si>
  <si>
    <t xml:space="preserve">Volume of water consumed and billed from any other ULB sources </t>
  </si>
  <si>
    <t>Volume of water consumed from any Non ULB water sources</t>
  </si>
  <si>
    <t>Total Water Consumption (billed and unbilled) from ULB and Non ULB sources)</t>
  </si>
  <si>
    <t>Volume of waste water generated from Domestic Water Consumption</t>
  </si>
  <si>
    <t>Volume of waste water generated from Bulk Supply - Apartments</t>
  </si>
  <si>
    <t>Volume of waste water generated from Bulk Supply - Layouts/Societies</t>
  </si>
  <si>
    <t>Volume of waste water generated from Non Domestic Water Consumption</t>
  </si>
  <si>
    <t>Volume of waste water generated from Public Tap Water Consumption</t>
  </si>
  <si>
    <t>Volume of waste water generated from free supplies (other connections)</t>
  </si>
  <si>
    <t>Volume of waste water generated from other ULB source water consumption</t>
  </si>
  <si>
    <t>Volume of waste water generated from Non ULB source Water consumption</t>
  </si>
  <si>
    <t>Total Waste Water Generated</t>
  </si>
  <si>
    <t>Waste Water Collection and Treatment</t>
  </si>
  <si>
    <t>Volume of sewage actually treated at the Primary Treatment Plant</t>
  </si>
  <si>
    <t>Volume of sewage actually treated at Secondary Treatment Plant</t>
  </si>
  <si>
    <t>Total Volume of Waste Water collected and Treated at Sewage Treatment Plants</t>
  </si>
  <si>
    <t xml:space="preserve"> ADEQUACY OF SEWAGE TREATMENT CAPACITY</t>
  </si>
  <si>
    <t>Installed Capacity of Primary Treatment Plant</t>
  </si>
  <si>
    <t>Installed Capacity of Secondary Treatment Plant</t>
  </si>
  <si>
    <t>Total Installed Capacity (Primary + Secondary Treatment)</t>
  </si>
  <si>
    <t>EXTENT OF REUSE AND RECYCLING OF SEWAGE</t>
  </si>
  <si>
    <t>Volume of treated waste water reused after Secondary Treatment</t>
  </si>
  <si>
    <t>QUALITY OF SEWAGE TREATMENT</t>
  </si>
  <si>
    <t>Discharge Compliance after Secondary Treatment of Sewage</t>
  </si>
  <si>
    <t>Number of Treated Effluent Samples Tested in a year</t>
  </si>
  <si>
    <t>Number of Treated Effluent Samples Passed in a year</t>
  </si>
  <si>
    <t>EFFICIENCY IN REDRESSAL OF CUSTOMER COMPLAINTS</t>
  </si>
  <si>
    <t>Sewage related Complaints received during the year</t>
  </si>
  <si>
    <t>Sewage related Complaints resolved within 24 hours during the year</t>
  </si>
  <si>
    <t>EXTENT OF COST RECOVERY IN SEWAGE MANAGEMENT</t>
  </si>
  <si>
    <t>Financial Information - Annual Operating Expenses</t>
  </si>
  <si>
    <t>Regular Staff and Administration</t>
  </si>
  <si>
    <t>Outsourced /Contract Staff Costs</t>
  </si>
  <si>
    <t>Electricity Charges /Fuel Costs</t>
  </si>
  <si>
    <t>Chemicals Costs</t>
  </si>
  <si>
    <t>Contractor Costs for O&amp;M</t>
  </si>
  <si>
    <t>Others (Specify)</t>
  </si>
  <si>
    <t>Total Annual Operating Expenses</t>
  </si>
  <si>
    <t>Financial Information - Annual Operating Revenues</t>
  </si>
  <si>
    <t>Revenue demand from user charges - sewerage only</t>
  </si>
  <si>
    <t>Revenue demand from tax/cess - sewerage only</t>
  </si>
  <si>
    <t>Revenue demand from other sources (eg. connection costs/donations etc.)</t>
  </si>
  <si>
    <t>Total Revenue Demand of the previous year (Current Demand of previous year)</t>
  </si>
  <si>
    <t>EFFICIENCY IN COLLECTION OF SEWAGE CHARGES</t>
  </si>
  <si>
    <t>Collection against arrears</t>
  </si>
  <si>
    <t xml:space="preserve">Collection against current demand </t>
  </si>
  <si>
    <t>Storm Water Drainage Data</t>
  </si>
  <si>
    <t>COVERAGE OF STORM WATER DRAINAGE NETWORK</t>
  </si>
  <si>
    <t>Total Length of Road Network</t>
  </si>
  <si>
    <t>Kilometers</t>
  </si>
  <si>
    <t>Total Length of Pucca covered drains</t>
  </si>
  <si>
    <t>INCIDENCE OF WATER LOGGING/FLOODING</t>
  </si>
  <si>
    <t>Number of Flood Prone Points in the city</t>
  </si>
  <si>
    <t xml:space="preserve">Average Frequency of Flooding </t>
  </si>
  <si>
    <t>Labourers/Cleaners (Sanctioned)</t>
  </si>
  <si>
    <t>Labourers/Cleaners (Working)</t>
  </si>
  <si>
    <t>Septage Management</t>
  </si>
  <si>
    <t xml:space="preserve">Does the ULB practice septage management </t>
  </si>
  <si>
    <t>Yes/No</t>
  </si>
  <si>
    <t>Septage sucking machines available within ULB</t>
  </si>
  <si>
    <t>Private Septage machines licenced by ULB</t>
  </si>
  <si>
    <t>Connection Costs for Sewerage Connections</t>
  </si>
  <si>
    <t>Sewerage Tariff Structure - Flat Rate Tariff</t>
  </si>
  <si>
    <t>Sewerage Tariff Structure - Volumetric Tariff</t>
  </si>
  <si>
    <t>SEWERAGE SERVICE INDICATOR VALUES</t>
  </si>
  <si>
    <t>Coverage of Toilets</t>
  </si>
  <si>
    <t>Coverage of sewage network services</t>
  </si>
  <si>
    <t>Collection efficiency of sewerage networks</t>
  </si>
  <si>
    <t>Adequacy of sewage treatment capacity</t>
  </si>
  <si>
    <t>Extent of reuse and recycling of sewage</t>
  </si>
  <si>
    <t>Quality of sewage treatment</t>
  </si>
  <si>
    <t>Extent of cost recovery in sewage management</t>
  </si>
  <si>
    <t>Efficiency in collection of sewage charges</t>
  </si>
  <si>
    <t>STORM WATER DRAINAGE SERVICE INDICATOR VALUES</t>
  </si>
  <si>
    <t>Coverage of storm water drainage network</t>
  </si>
  <si>
    <t>Incidence of water logging/flooding</t>
  </si>
  <si>
    <t>SEWERAGE SERVICE RELIABILITY GRADES</t>
  </si>
  <si>
    <t>S.No.</t>
  </si>
  <si>
    <t>Coverage of Storm Water Drainage Network</t>
  </si>
  <si>
    <t>Coverage of households with toilets</t>
  </si>
  <si>
    <t>Coverage of properties with adequate sanitation system</t>
  </si>
  <si>
    <t>Coverage of households with sewer connections</t>
  </si>
  <si>
    <t>Coverage of sewerage network</t>
  </si>
  <si>
    <t>Coverage of sullage network (open+covered)</t>
  </si>
  <si>
    <t>Staff for wastewater per length of sewer</t>
  </si>
  <si>
    <t>% capacity of plant to wastewater generated</t>
  </si>
  <si>
    <t>Adequacy of primary treatment capacity</t>
  </si>
  <si>
    <t>Presence of master plan for sewage system</t>
  </si>
  <si>
    <t>PSP in O &amp; M operations for sewerage</t>
  </si>
  <si>
    <t>Extent of primary treatment</t>
  </si>
  <si>
    <t>Number of connections to septic tanks in the city</t>
  </si>
  <si>
    <t>Presence of septage treatment facilities</t>
  </si>
  <si>
    <t>Number of septage sucking machines/1000 septic tanks</t>
  </si>
  <si>
    <t>% of septic tanks cleaned annually</t>
  </si>
  <si>
    <t>Unit electricity cost of wastewater generated</t>
  </si>
  <si>
    <t>Rs/Kl</t>
  </si>
  <si>
    <t>% of total staff to sanctioned staff in wastewater</t>
  </si>
  <si>
    <t>Total Staff (regular and contract) per 1000 waste water connections</t>
  </si>
  <si>
    <t>Average revenue per connection</t>
  </si>
  <si>
    <t>Total complaints in waste water per 1000 connections</t>
  </si>
  <si>
    <t>Frequency of sewer overflows</t>
  </si>
  <si>
    <t>SOLID WASTE MANAGEMENT</t>
  </si>
  <si>
    <t>HOUSEHOLD LEVEL COVERAGE OF SOLID WASTE MANAGEMENT SERVICES</t>
  </si>
  <si>
    <t>Door to Door Collection - Number of HHs and establishments covered by Door to Door Collection</t>
  </si>
  <si>
    <t>Number of Households covered by Door to Door Collection</t>
  </si>
  <si>
    <t>Number of Hotels and Restaurants covered by Door to Door Collection</t>
  </si>
  <si>
    <t>Number of Commercial Establishments (institutions, offices) covered by Door to Door Collection</t>
  </si>
  <si>
    <t>Number of any other establishments (incl. markets) covered by Door to Door Collection</t>
  </si>
  <si>
    <t>Total number of establishments covered by door to door collection (if typewise establishments is not available)</t>
  </si>
  <si>
    <t>Total Number of Households and Establishments covered by Door to Door Collection</t>
  </si>
  <si>
    <t>EFFICIENCY OF COLLECTION OF MUNICIPAL SOLID WASTE</t>
  </si>
  <si>
    <t>Waste Generation</t>
  </si>
  <si>
    <t>Waste Generated by Households</t>
  </si>
  <si>
    <t>MT/month</t>
  </si>
  <si>
    <t>Waste Generated by Street Sweeping</t>
  </si>
  <si>
    <t>Waste Generated by Hotels and Restaurants</t>
  </si>
  <si>
    <t>Waste Generated by Markets (Vegetable Markets, Mandis etc)</t>
  </si>
  <si>
    <t>Waste Generated by Commercial Establishments  (eg. Institutions, etc)</t>
  </si>
  <si>
    <t>Waste Generated by other sources (eg. debris, horticulture waste etc)</t>
  </si>
  <si>
    <t>Total Waste Generated (if typewise generation is not available)</t>
  </si>
  <si>
    <t>Total Waste Generated</t>
  </si>
  <si>
    <t>Waste Collection and Transportation - Details of waste received at Processing/ Disposal Facilities</t>
  </si>
  <si>
    <t>Quantity of waste received at processing and recycling facilities</t>
  </si>
  <si>
    <t>Quantity of waste received at disposal sites</t>
  </si>
  <si>
    <t>Total waste received at processing/disposal facility and recycled</t>
  </si>
  <si>
    <t>Waste Collection and Transportation - Details of waste transported to Processing/ Disposal Facilities</t>
  </si>
  <si>
    <t>Number of trucks used for transportation of waste</t>
  </si>
  <si>
    <t>Capacity of each trucks</t>
  </si>
  <si>
    <t>Metric Tons (MT)</t>
  </si>
  <si>
    <t>Total number of trips made by trucks each day to the disposal site</t>
  </si>
  <si>
    <t>Trips per day</t>
  </si>
  <si>
    <t>Total quantity of waste collected by trucks</t>
  </si>
  <si>
    <t>Number of dumper placers used for transportation of waste</t>
  </si>
  <si>
    <t>Capacity of each dumper placer</t>
  </si>
  <si>
    <t>Total number of trips made by all dumper placers each day to the disposal site</t>
  </si>
  <si>
    <t>Total quantity of waste collected by dumper placers</t>
  </si>
  <si>
    <t xml:space="preserve">Number of mini lorries used for transportation of waste </t>
  </si>
  <si>
    <t>Capacity of each mini lorry</t>
  </si>
  <si>
    <t>Total number of trips made by all mini lorries each day to the disposal site</t>
  </si>
  <si>
    <t>Total quantity of waste collected by mini lorries</t>
  </si>
  <si>
    <t>Number of tractor trailers used for transportation of waste</t>
  </si>
  <si>
    <t>Capacity of each tractor trailer</t>
  </si>
  <si>
    <t>Total number of trips made by all tractor trailer each day to the disposal site</t>
  </si>
  <si>
    <t>Total quantity of waste collected by tractor trailer</t>
  </si>
  <si>
    <t>Number of tipper trucks used for transportation of waste</t>
  </si>
  <si>
    <t>Capacity of each tipper trucks</t>
  </si>
  <si>
    <t>Total number of trips made by all tipper trucks each day to the disposal site</t>
  </si>
  <si>
    <t>Total quantity of waste collected by tipper trucks</t>
  </si>
  <si>
    <t>Number of 3 wheeler auto tippers used for transportation of waste</t>
  </si>
  <si>
    <t>Capacity of each 3 wheeler auto tipper</t>
  </si>
  <si>
    <t>Total number of trips made by all 3 wheeler auto tippers each day to the disposal site</t>
  </si>
  <si>
    <t>Total quantity of waste collected by 3 wheeler auto tippers</t>
  </si>
  <si>
    <t>Total quantity of waste collected and transported to disposal site</t>
  </si>
  <si>
    <t>EXTENT OF SEGREGATION OF MUNICIPAL SOLID WASTE</t>
  </si>
  <si>
    <t>Segregation of Waste</t>
  </si>
  <si>
    <t>Quantity of waste arriving at Processing/ Disposal facility in segregated manner</t>
  </si>
  <si>
    <t>Quantity of waste taken away by recyclers from intermediate points</t>
  </si>
  <si>
    <t>EXTENT OF MUNICIPAL SOLID WASTE RECOVERED</t>
  </si>
  <si>
    <t>Quantity of Waste Processing</t>
  </si>
  <si>
    <t>Installed Capacity of Composting Plant</t>
  </si>
  <si>
    <t>Waste Quantity Input at the Composting Plant</t>
  </si>
  <si>
    <t>Installed Capacity of Vermi-composting Plant</t>
  </si>
  <si>
    <t>Waste Quantity Input at the Vermi-composting Plant</t>
  </si>
  <si>
    <t>Installed Capacity of Refuse Derived Fuel</t>
  </si>
  <si>
    <t>Waste Quantity Input at the Refuse Derived Fuel</t>
  </si>
  <si>
    <t>Installed Capacity of Bio Methanation/ Waste-to-Energy Plants</t>
  </si>
  <si>
    <t xml:space="preserve">Waste Quantity Input at Bio methanation/ Waste-to-Energy plants </t>
  </si>
  <si>
    <t>Installed Capacity of any other processing facilities</t>
  </si>
  <si>
    <t>Waste Quantity Input at other processing facilities</t>
  </si>
  <si>
    <t>Total Installed Capacity of Processing facilities</t>
  </si>
  <si>
    <t>Total Waste Quantity Input at all types of processing facilities</t>
  </si>
  <si>
    <t>Quantity of waste rejected by processing facilities at intake point</t>
  </si>
  <si>
    <t>Quantity of post-processing rejects sent to dumpsite/ landfills</t>
  </si>
  <si>
    <t>Total Waste Processed in the ULB</t>
  </si>
  <si>
    <t>EXTENT OF SCIENTIFIC DISPOSAL OF MUNICIPAL SOLID WASTE</t>
  </si>
  <si>
    <t>Quantity of Waste Disposal</t>
  </si>
  <si>
    <t>Quantity of waste disposed in compliant landfill sites</t>
  </si>
  <si>
    <t>Quantity of waste disposed in open dump sites</t>
  </si>
  <si>
    <t>Customer Service</t>
  </si>
  <si>
    <t>EXTENT OF COST RECOVERY IN SWM SERVICES</t>
  </si>
  <si>
    <t>Financial Information - Operational Expenditure on SWM during previous year</t>
  </si>
  <si>
    <t>Regular Staff &amp; Administration</t>
  </si>
  <si>
    <t>Rs. In Lakhs</t>
  </si>
  <si>
    <t>Outsourced/Contracted Staff Costs</t>
  </si>
  <si>
    <t>Repair/Maintenance Costs</t>
  </si>
  <si>
    <t>Contracted Services Cost</t>
  </si>
  <si>
    <t>Other Costs (Specify)</t>
  </si>
  <si>
    <t>Total Operational Expenses</t>
  </si>
  <si>
    <t>Financial Information - Operational Revenues from SWM during previous year</t>
  </si>
  <si>
    <t>Arrears at the end of previous year</t>
  </si>
  <si>
    <t>Tax / Cess - Solid Waste only</t>
  </si>
  <si>
    <t>User Charges</t>
  </si>
  <si>
    <t>Fixed Charges based on Property Tax/ State Taxes/Cess/Surcharges</t>
  </si>
  <si>
    <t>Sale of Recyclables</t>
  </si>
  <si>
    <t>Sale from processing - compost/energy</t>
  </si>
  <si>
    <t>Royalty</t>
  </si>
  <si>
    <t>Total Revenue Demand Raised for the previous year</t>
  </si>
  <si>
    <t>EFFICIENCY IN COLLECTION OF SWM CHARGES</t>
  </si>
  <si>
    <t>Collection against Current Demand</t>
  </si>
  <si>
    <t>Additional Information (Optional)</t>
  </si>
  <si>
    <t>Senior Management-Health Officer (Sanctioned)</t>
  </si>
  <si>
    <t>Senior Management-Health Officer (Working)</t>
  </si>
  <si>
    <t>Sanitary Inspector (Sanctioned)</t>
  </si>
  <si>
    <t>Sanitary Inspector (Working)</t>
  </si>
  <si>
    <t>Sanitary Supervisor (Sanctioned)</t>
  </si>
  <si>
    <t>Sanitary Supervisor (Working)</t>
  </si>
  <si>
    <t>Maistries/Safai Karam chari (Sanctioned)</t>
  </si>
  <si>
    <t>Maistries/Safai Karam chari (Working)</t>
  </si>
  <si>
    <t>Cleaners/Drivers (Sanctioned)</t>
  </si>
  <si>
    <t>Cleaners/Drivers (Working)</t>
  </si>
  <si>
    <t>Others Specify</t>
  </si>
  <si>
    <t>Are daily records of waste received at compliant landfill maintained (MSW 2000)</t>
  </si>
  <si>
    <t>Is weighbridge available at landfill site?</t>
  </si>
  <si>
    <t>Are daily records of waste received at open dumpsites maintained?</t>
  </si>
  <si>
    <t>Is weighbridge available at dumpsite?</t>
  </si>
  <si>
    <t>User charges</t>
  </si>
  <si>
    <t xml:space="preserve">Residential </t>
  </si>
  <si>
    <t>Rs./ Month</t>
  </si>
  <si>
    <t>Slum HH</t>
  </si>
  <si>
    <t>Commercial Establishment</t>
  </si>
  <si>
    <t>Fixed charge through property tax</t>
  </si>
  <si>
    <t>Others</t>
  </si>
  <si>
    <t>SOLID WASTE MANAGEMENT INDICATORS</t>
  </si>
  <si>
    <t>Household level coverage of solid waste management services</t>
  </si>
  <si>
    <t>Efficiency of collection of municipal solid waste</t>
  </si>
  <si>
    <t>Extent of segregation of municipal solid waste</t>
  </si>
  <si>
    <t>Extent of municipal solid waste recovered</t>
  </si>
  <si>
    <t>Extent of scientific disposal of municipal solid waste</t>
  </si>
  <si>
    <t>Extent of cost recovery in solid waste management services</t>
  </si>
  <si>
    <t>Efficiency in collection of solid waste management charges</t>
  </si>
  <si>
    <t>SOLID WASTE MANAGEMENT RELIABILITY GRADES</t>
  </si>
  <si>
    <t>Sweepers per road length swept</t>
  </si>
  <si>
    <t>Secondary collection frequency</t>
  </si>
  <si>
    <t>% treatment capacity to solid waste generated</t>
  </si>
  <si>
    <t>Adequacy of solid waste treatment facilities</t>
  </si>
  <si>
    <t>PSP in secondary collection / transportation</t>
  </si>
  <si>
    <t>PSP in treatment and disposal of municipal solid waste</t>
  </si>
  <si>
    <t>Unit cost of solid waste management services</t>
  </si>
  <si>
    <t>Rs/tonne</t>
  </si>
  <si>
    <t>% of total staff to sanctioned staff in SWM</t>
  </si>
  <si>
    <t>Total Staff (regular and contract) per 1000 households and establishment</t>
  </si>
  <si>
    <t>Average revenue per HH and establishment</t>
  </si>
  <si>
    <t>Total complaints in solid waste per 1000 HH and establishment</t>
  </si>
  <si>
    <t>EQUITY RELATED INFORMATION</t>
  </si>
  <si>
    <t>SLUMS</t>
  </si>
  <si>
    <t>General Details</t>
  </si>
  <si>
    <t>Number of slum settlements</t>
  </si>
  <si>
    <t>Population in slums</t>
  </si>
  <si>
    <t>Households in slums</t>
  </si>
  <si>
    <t>Household size in slums</t>
  </si>
  <si>
    <t>Total number of slums notified by state</t>
  </si>
  <si>
    <t>Number of slums that have been de notified in the current year</t>
  </si>
  <si>
    <t>Policy provision for slums</t>
  </si>
  <si>
    <t>Does the ULB have a policy to provide individual WSS services to slums?</t>
  </si>
  <si>
    <t>Does it exclude non notified slums?</t>
  </si>
  <si>
    <t>Are slum settlements covered under property tax assessment?</t>
  </si>
  <si>
    <t>If Yes, number of slum settlements covered under property tax assessment</t>
  </si>
  <si>
    <t>Does the ULB have a specific department or cell (e.g. UCD) responsible for service provisions in slums?</t>
  </si>
  <si>
    <t>Are external agencies (like NGOs, CBOs,private agencies) involved in service provision to slums?</t>
  </si>
  <si>
    <t>Does the ULB earmark funds for the poor in budgetary allocation?</t>
  </si>
  <si>
    <t>% of funds allocated in the budget for pro poor activities</t>
  </si>
  <si>
    <t>% expenditure for service provision in slums to total ULB expenditure</t>
  </si>
  <si>
    <t>Do slum households have options to pay connection charges in installments?</t>
  </si>
  <si>
    <t>Specify documents needed to obtain individual water/sewer connections in slums</t>
  </si>
  <si>
    <t>(1/2/3)</t>
  </si>
  <si>
    <t>1:Property tax bill,2:Ration card,3:Others,specify</t>
  </si>
  <si>
    <t>Have any surveys been conducted as part of programs/ schemes to enhance services in slums?</t>
  </si>
  <si>
    <t>If yes, mention program/ scheme under which the surveys have been undertaken?</t>
  </si>
  <si>
    <t>(1/2/3/4/5/6)</t>
  </si>
  <si>
    <t>1: Nirmal Gujarat, 2: MSNA, 3: IHSDP, 4: JnNURM, 5: MGSM 6:Others, specify</t>
  </si>
  <si>
    <t>Services in slums at city level</t>
  </si>
  <si>
    <t>Number of settlements which have an internal water supply network</t>
  </si>
  <si>
    <t>Number of individual water connections in slums</t>
  </si>
  <si>
    <t xml:space="preserve">  Number of new connections given in slums in the current year</t>
  </si>
  <si>
    <t>Number of group connections in slums</t>
  </si>
  <si>
    <t>Number functional stand posts in slums</t>
  </si>
  <si>
    <t>Number of standposts converted to group connections for slums</t>
  </si>
  <si>
    <t>Number of individual toilets in slums</t>
  </si>
  <si>
    <t xml:space="preserve">  Number of individual toilets constructed in slums in current year</t>
  </si>
  <si>
    <t>Number of seats in pay-n-use toilets (functional toilets) in slums</t>
  </si>
  <si>
    <t>Number of seats in community toilets (functional toilets) in slums</t>
  </si>
  <si>
    <t>Number of settlements which have an internal sewage network</t>
  </si>
  <si>
    <t>Number of sewerage connections in slums</t>
  </si>
  <si>
    <t xml:space="preserve">  Number of community and pay-n-use toilets without access to safe disposal systems</t>
  </si>
  <si>
    <t>Number of slum HHs served by door to door collection of MSW</t>
  </si>
  <si>
    <t>ADDITIONAL INFORMATION ON WATER SUPPLY</t>
  </si>
  <si>
    <t>Water supply</t>
  </si>
  <si>
    <t>Network details</t>
  </si>
  <si>
    <t>Length of trunk main</t>
  </si>
  <si>
    <t>Length of transmission mains</t>
  </si>
  <si>
    <t>Length of trunk and/or transmission mains that have undergone renovation</t>
  </si>
  <si>
    <t>Length of distribution network</t>
  </si>
  <si>
    <t>Number of pipe breaks in the current year</t>
  </si>
  <si>
    <t>Total area under water distribution network</t>
  </si>
  <si>
    <t>Length of road network</t>
  </si>
  <si>
    <t>Source level details</t>
  </si>
  <si>
    <t>Average daily quantity of water supplied from ground sources</t>
  </si>
  <si>
    <t>Average daily quantity of water supplied from own surface sources</t>
  </si>
  <si>
    <t>Average daily quantity of water supplied from bulk raw purchase</t>
  </si>
  <si>
    <t>Average daily quantity of water supplied from bulk treated water</t>
  </si>
  <si>
    <t>Average daily quantity of water supplied from other sources (desalination, rainwater harvesting, etc)</t>
  </si>
  <si>
    <t>Total daily quantity of water supplied from source</t>
  </si>
  <si>
    <t>Average daily quantity of water supplied from WDS</t>
  </si>
  <si>
    <t>Does the ULB conduct regular assessment of availability of sources through preparation of depletion statements, etc?</t>
  </si>
  <si>
    <t>Capacity addition/augmentation to present supply of water commissioned over next 3 years from projects/schemes/bulk purchase</t>
  </si>
  <si>
    <t>Audits</t>
  </si>
  <si>
    <t>Has the ULB conducted studies for preliminary or detailed water audits?</t>
  </si>
  <si>
    <t>Has the ULB conducted studies for energy audits?</t>
  </si>
  <si>
    <t>Number of pumps at water source, treatment and distribution points inspected in the current year</t>
  </si>
  <si>
    <t>Number of pumps replaced/repaired in the current year</t>
  </si>
  <si>
    <t>Metering</t>
  </si>
  <si>
    <t>% of consumer meters that are functional</t>
  </si>
  <si>
    <t>Number of consumer meters that are repaired/replaced in the current year</t>
  </si>
  <si>
    <t>Metered consumption (where consumer meters are functional)</t>
  </si>
  <si>
    <t>Number of connections exempted from property tax/ water bills</t>
  </si>
  <si>
    <t>Complaint redressal System</t>
  </si>
  <si>
    <t>Is a system to record complaints received and redressed properly maintained by the ULB?</t>
  </si>
  <si>
    <t>Does the redressal system allow for monitoring and analysing complaints on a regular basis?</t>
  </si>
  <si>
    <t>Unauthorised connections</t>
  </si>
  <si>
    <t>Does the ULB have any measures to identify and/or regularise illegal connections?</t>
  </si>
  <si>
    <t>For Water supply</t>
  </si>
  <si>
    <t>Estimated number of illegal connections</t>
  </si>
  <si>
    <t>% of illegal connections regularised</t>
  </si>
  <si>
    <t>For Wastewater</t>
  </si>
  <si>
    <t>ADDITIONAL INFORMATION ON SEWERAGE AND DRAINAGE</t>
  </si>
  <si>
    <t>Sewerage and/or sullage network</t>
  </si>
  <si>
    <t>Type of system</t>
  </si>
  <si>
    <t>Does the ULB have an underground piped network?</t>
  </si>
  <si>
    <t>Total length of underground piped network</t>
  </si>
  <si>
    <t>Total area covered by underground piped network</t>
  </si>
  <si>
    <t>sq. km</t>
  </si>
  <si>
    <t>Does the ULB have a covered drainage network?</t>
  </si>
  <si>
    <t>Length of covered drainage network</t>
  </si>
  <si>
    <t>Area covered by covered drainage network</t>
  </si>
  <si>
    <t>Does the ULB have open drainage network?</t>
  </si>
  <si>
    <t>Length of open drainage network</t>
  </si>
  <si>
    <t>Area covered by open drainage network</t>
  </si>
  <si>
    <t>Augmentation and efficiency of network</t>
  </si>
  <si>
    <t>Does the ULB have a plan to develop/augment its sewer network?</t>
  </si>
  <si>
    <t>Does the ULB contract out services related to O&amp;M operations for sewerage?</t>
  </si>
  <si>
    <t>Number of HHs with individual toilets in the city</t>
  </si>
  <si>
    <t>Number of HHs with toilets connected to sewer network in the city</t>
  </si>
  <si>
    <t>Number of residential sewer connections in the city</t>
  </si>
  <si>
    <t>Number of non-residential sewer connections in the city</t>
  </si>
  <si>
    <t>Total no. of community toilet seats in city</t>
  </si>
  <si>
    <t>Total no. of functional community toilet seats in city</t>
  </si>
  <si>
    <t>Number of functional community toilet seats connected to sewer network</t>
  </si>
  <si>
    <t>Number of sewer overflows reported in the current year</t>
  </si>
  <si>
    <t>Does the ULB have a sewage treatment plant?</t>
  </si>
  <si>
    <t>If Yes, specify type of treatment</t>
  </si>
  <si>
    <t>(1/2/3/4)</t>
  </si>
  <si>
    <t>1: UASB, 2: Activated sludge, 3: Oxidation pond 4: Others</t>
  </si>
  <si>
    <t>Reuse of wastewater</t>
  </si>
  <si>
    <t>Does the ULB charge for untreated/treated wastewater that is reused?</t>
  </si>
  <si>
    <t xml:space="preserve">   If Yes, please specify the rate for untreated wastewater</t>
  </si>
  <si>
    <t>Rs/MLD</t>
  </si>
  <si>
    <t xml:space="preserve">   If Yes, please specify the rate for treated wastewater</t>
  </si>
  <si>
    <t>Is the untreated waste water being reused?</t>
  </si>
  <si>
    <t xml:space="preserve">   If Yes, estimated volume of untreated wastewater reused </t>
  </si>
  <si>
    <t xml:space="preserve">   If Yes, specify the purpose</t>
  </si>
  <si>
    <t>1:Agriculture,2:Sewage farms,3:Others,specify</t>
  </si>
  <si>
    <t>Means of disposal of waste water</t>
  </si>
  <si>
    <t>Sullage</t>
  </si>
  <si>
    <t>Untreated waste water</t>
  </si>
  <si>
    <t>Treated waste water</t>
  </si>
  <si>
    <t>1:on land,2:in water bodies,3:Others,specify</t>
  </si>
  <si>
    <t>In areas of ULB/ ULBs with no sewer/drainage network</t>
  </si>
  <si>
    <t>Estimated properties connected to septic tanks</t>
  </si>
  <si>
    <t>Households with toilets connected to septic tanks</t>
  </si>
  <si>
    <t>Households connected to septic tank as per design standards</t>
  </si>
  <si>
    <t>Households with septic tank connected to drains / settled sewer</t>
  </si>
  <si>
    <t>Households with toilets with septic tank connected to soak pits</t>
  </si>
  <si>
    <t>Households with toilets connected to single pit</t>
  </si>
  <si>
    <t>Households with toilets connected to twin pits</t>
  </si>
  <si>
    <t>Households with toilets connected to other safe system (Zero discharge - ecosan toilets, Improved / Package septic tank, Advance onsite treatment - Johkasou, etc)</t>
  </si>
  <si>
    <t>Households with toilets connected to other unsafe system (Night soil disposal, etc)</t>
  </si>
  <si>
    <t>Estimated number of septic tanks in the ULB</t>
  </si>
  <si>
    <t>Estimated number of septic tanks cleaned annually  (ULB and Private operators)</t>
  </si>
  <si>
    <t xml:space="preserve">Total septage generated </t>
  </si>
  <si>
    <t>Cu.m / Year</t>
  </si>
  <si>
    <t>Average capacity of septage sucking machine/ vacuum emptier</t>
  </si>
  <si>
    <t>Cu. M</t>
  </si>
  <si>
    <t>Number of trips in a year by all sucking machine/ vaccum emptier</t>
  </si>
  <si>
    <t>Total volume of septage collected  by septage sucking machines</t>
  </si>
  <si>
    <t>Total quantity of septic tank effluent collected through settled sewer / drain at the inlet of treatment plant / disposal point</t>
  </si>
  <si>
    <t>Charge levied by agency for emptying septic tanks inside city limits</t>
  </si>
  <si>
    <t>Rs/trip</t>
  </si>
  <si>
    <t>Charge levied by agency for emptying tanks outside city limits</t>
  </si>
  <si>
    <t>Does the ULB have facilities to treat septage?</t>
  </si>
  <si>
    <t>If Yes, then specify type of treatment</t>
  </si>
  <si>
    <t>(1/2/3/4/5)</t>
  </si>
  <si>
    <t>1: At existing STP , 2: Sludge dying bed 3: Mechanical dewatering 4: Anaerobic digestor 5:Others then specify</t>
  </si>
  <si>
    <t>If yes, then specify installed capacity of septage treatment facility</t>
  </si>
  <si>
    <t>If yes, then specify quantity of septage received at treatment facility</t>
  </si>
  <si>
    <t>If yes, then specify quantum of treated septage reused after treatment</t>
  </si>
  <si>
    <t>Kgs / Year</t>
  </si>
  <si>
    <t>Number of Treated Septage Samples Tested in a year</t>
  </si>
  <si>
    <t>Number of Treated Septage Samples Passed in a year</t>
  </si>
  <si>
    <t>Location of disposal of septic tank waste</t>
  </si>
  <si>
    <t>1: Sewage treatment plants (inclu. Functional oxidation ponds), 2: Open dumps, 3: Water bodies</t>
  </si>
  <si>
    <t>Does ULB have treatment plant for grey water / effluent collected from settled sewers/drains?</t>
  </si>
  <si>
    <t>If yes, specify type of treatment?</t>
  </si>
  <si>
    <t>1: At existing STP , 2: Pond 3: Lagoons4: Others</t>
  </si>
  <si>
    <t>If yes, specify installed capacity of treatment plant?</t>
  </si>
  <si>
    <t>If yes, specify quantity of effluent received at treatment plant</t>
  </si>
  <si>
    <t>If yes, specify quantity of treated effluent reused</t>
  </si>
  <si>
    <t>Number of treated effluent samples tested in a year</t>
  </si>
  <si>
    <t>Number of treated effluent samples passed in a year</t>
  </si>
  <si>
    <t>ADDITIONAL INFORMATION ON SOLID WASTE MANAGEMENT</t>
  </si>
  <si>
    <t>Solid Waste Management</t>
  </si>
  <si>
    <t>Total number of wards in the city</t>
  </si>
  <si>
    <t>Number of wards covered by primary collection agencies for SWM</t>
  </si>
  <si>
    <t>ULB</t>
  </si>
  <si>
    <t>Private</t>
  </si>
  <si>
    <t>Resident Welfare Associations</t>
  </si>
  <si>
    <t>NGO/CBOs</t>
  </si>
  <si>
    <t>Number of sweepers deployed for road sweeping</t>
  </si>
  <si>
    <t>Total length of road swept</t>
  </si>
  <si>
    <t>Number of secondary storage bins</t>
  </si>
  <si>
    <t>Capacity of secondary storage bins</t>
  </si>
  <si>
    <t>tonnes</t>
  </si>
  <si>
    <t>Frequency of secondary collection of waste in a week</t>
  </si>
  <si>
    <t>Does the ULB contract out services related to</t>
  </si>
  <si>
    <t>Secondary collection?</t>
  </si>
  <si>
    <t>Transportation?</t>
  </si>
  <si>
    <t>Treatment?</t>
  </si>
  <si>
    <t>Disposal?</t>
  </si>
  <si>
    <t>ADDITIONAL INFORMATION ON FINANCE</t>
  </si>
  <si>
    <t>Financial Details for ULB</t>
  </si>
  <si>
    <t>Capital receipts of ULB</t>
  </si>
  <si>
    <t>Grants</t>
  </si>
  <si>
    <t>Borrowings</t>
  </si>
  <si>
    <t>Total</t>
  </si>
  <si>
    <t>Capital expenditure of ULB</t>
  </si>
  <si>
    <t xml:space="preserve">Wastewater </t>
  </si>
  <si>
    <t>MSWM</t>
  </si>
  <si>
    <t>Revenue Receipts of ULB</t>
  </si>
  <si>
    <t>Own Tax Revenue Income</t>
  </si>
  <si>
    <t>Non-Tax Revenue Income</t>
  </si>
  <si>
    <t>Revenue Grants &amp; Contribution</t>
  </si>
  <si>
    <t>Revenue Expenditure of ULB</t>
  </si>
  <si>
    <t>Establishment Expenditure</t>
  </si>
  <si>
    <t>Operations and maintenance</t>
  </si>
  <si>
    <t>Outsourcing / Contract</t>
  </si>
  <si>
    <t>Total Extraordinary Income of ULB</t>
  </si>
  <si>
    <t>Total Extraordinary Expenditure of ULB</t>
  </si>
  <si>
    <t>Property tax details for ULB</t>
  </si>
  <si>
    <t>Current year billed demand</t>
  </si>
  <si>
    <t>Collection against current year demand</t>
  </si>
  <si>
    <t>Outstanding Payments of ULB</t>
  </si>
  <si>
    <t xml:space="preserve">Total payment due to the state electricity board for outstanding electricity bills and penalties </t>
  </si>
  <si>
    <t xml:space="preserve">Total payments due for bulk supply (irrigation, etc.) including charges and penalties </t>
  </si>
  <si>
    <t>Repayment of loans</t>
  </si>
  <si>
    <t>Improving Collection efficiency</t>
  </si>
  <si>
    <t>Does the ULB levy charge in the form of taxes, user fees, etc for providing services related to</t>
  </si>
  <si>
    <t>Water supply?</t>
  </si>
  <si>
    <t>Wastewater (Sanitation and Sewerage)?</t>
  </si>
  <si>
    <t>MSWM?</t>
  </si>
  <si>
    <t>SWD?</t>
  </si>
  <si>
    <t>Does the ULB facilitate payment of bills through banks?</t>
  </si>
  <si>
    <t>Does the ULB have various mechanisms to facilitate collection of bills at ward level like e-kiosks, civic centres,etc?</t>
  </si>
  <si>
    <t>Does the ULB outsource its bill collections to private agencies, etc?</t>
  </si>
  <si>
    <t>What is the penalty for late payment?</t>
  </si>
  <si>
    <t>EQUITY RELATED INDICATORS</t>
  </si>
  <si>
    <t>Coverage of water supply connections in slums</t>
  </si>
  <si>
    <t>Coverage of individual toilets in slums</t>
  </si>
  <si>
    <t>Coverage of wastewater network services in slums</t>
  </si>
  <si>
    <t>Household level coverage of solid waste management services in slums</t>
  </si>
  <si>
    <t>EQUITY RELATED RELIABILITY GRADES</t>
  </si>
  <si>
    <t>Coverage</t>
  </si>
  <si>
    <t>% of slum settlements having internal water supply network</t>
  </si>
  <si>
    <t>% of slum settlements having internal wastewater network</t>
  </si>
  <si>
    <t>Presence of policy enabling provision for services in slums</t>
  </si>
  <si>
    <t>Efforts made to simplify connection procedures for slum HHs</t>
  </si>
  <si>
    <t>% of uncovered HHs covered with water connections in slums during the year</t>
  </si>
  <si>
    <t>Number of toilets constructed during the year</t>
  </si>
  <si>
    <t>% of households defecating in open in slums</t>
  </si>
  <si>
    <t>% of population with access to water services in slums</t>
  </si>
  <si>
    <t>% of population with access to sanitation services in slums</t>
  </si>
  <si>
    <t>% budget for pro poor activities</t>
  </si>
  <si>
    <t>Connection charge for urban poor to non poor HHs in water supply</t>
  </si>
  <si>
    <t>Connection charge for urban poor to non poor HHs in wastewater</t>
  </si>
  <si>
    <t>% of expenditure in slums to total ULB expenditure</t>
  </si>
  <si>
    <t>Parameters for composite score</t>
  </si>
  <si>
    <t>Policy and strategy enabling service provision to slums</t>
  </si>
  <si>
    <t>Does the ULB have any policy that enables provision of services to slums?</t>
  </si>
  <si>
    <t>Does the ULB have any criteria in providing individual connections to slum households?</t>
  </si>
  <si>
    <t>Are external agencies involved in service provisions to slums?</t>
  </si>
  <si>
    <t>Service provision</t>
  </si>
  <si>
    <t>Does the ULB have a specific department or cell responsible for service provision to slums?</t>
  </si>
  <si>
    <t>Has the ULB provided  individual water connections in the current year</t>
  </si>
  <si>
    <t>Has the ULB provided individual toilets in the current year</t>
  </si>
  <si>
    <t xml:space="preserve"> Do 50% or more HHs have individual water connections?</t>
  </si>
  <si>
    <t xml:space="preserve"> Do 50 % or more HHs have individual toilets?</t>
  </si>
  <si>
    <t>Composite score</t>
  </si>
  <si>
    <t>RELIABILITY ASSESSMENT</t>
  </si>
  <si>
    <t>No</t>
  </si>
  <si>
    <t>Reliability parameters for water supply, wastewater, SWM and SWD</t>
  </si>
  <si>
    <t xml:space="preserve">What is the basis of estimation of </t>
  </si>
  <si>
    <t>HHs served with individual water supply connections</t>
  </si>
  <si>
    <t>1.Through household surveys (1-5 yrs)</t>
  </si>
  <si>
    <t>2.Through property tax/billing records</t>
  </si>
  <si>
    <t>3. Number of residential connections</t>
  </si>
  <si>
    <t>4. Past trends/surveys</t>
  </si>
  <si>
    <t>5. Area covered by distribution network</t>
  </si>
  <si>
    <t>6. Road covered by network length</t>
  </si>
  <si>
    <t>Properties served with toilets (individual + community)</t>
  </si>
  <si>
    <t>1. Through household surveys (1-5 yrs)</t>
  </si>
  <si>
    <t>2. Through property tax records</t>
  </si>
  <si>
    <t>3. Area covered by toilet facilities</t>
  </si>
  <si>
    <t>Properties served with sewerage connections</t>
  </si>
  <si>
    <t>1. through household surveys (1-5 yrs)</t>
  </si>
  <si>
    <t>3. Number of sewer connections</t>
  </si>
  <si>
    <t>5. Area covered by sewer network</t>
  </si>
  <si>
    <t>6. Road length covered by sewerage</t>
  </si>
  <si>
    <t>Households served with septic tank connections / twin pit system</t>
  </si>
  <si>
    <t>2. Through property tax records or BU permission records</t>
  </si>
  <si>
    <t>3. Past trends/surveys</t>
  </si>
  <si>
    <t>4. Area covered by septic tank</t>
  </si>
  <si>
    <t>HHs and establishments served by door to door collection</t>
  </si>
  <si>
    <t>2. Quantity of waste collected</t>
  </si>
  <si>
    <t>3.  No. of wards served</t>
  </si>
  <si>
    <t>How are records of HHs served by water supply maintained?</t>
  </si>
  <si>
    <t>1. Computerised</t>
  </si>
  <si>
    <t>2. Only Manual</t>
  </si>
  <si>
    <t>How are records of properties served maintained for</t>
  </si>
  <si>
    <t>Toilets</t>
  </si>
  <si>
    <t>Sewerage</t>
  </si>
  <si>
    <t>Onsite sanitation system</t>
  </si>
  <si>
    <t xml:space="preserve">Door to door collection of MSW </t>
  </si>
  <si>
    <t>How are connection registers maintained for</t>
  </si>
  <si>
    <t>Storm Water Drains</t>
  </si>
  <si>
    <t>What is the basis of estimation of length of pucca and covered drains?</t>
  </si>
  <si>
    <t>1. Ground level surveys (1-5 yrs)</t>
  </si>
  <si>
    <t>2. Based on road maps (&lt;5 yrs old)</t>
  </si>
  <si>
    <t>How are flood prone points identified in the city?</t>
  </si>
  <si>
    <t>1. Flood monitoring stations</t>
  </si>
  <si>
    <t>2. Complaints/reports from citizens</t>
  </si>
  <si>
    <t>Coverage in slums</t>
  </si>
  <si>
    <t>What is the basis of estimation of population/HHs in slums?</t>
  </si>
  <si>
    <t>1. Recent Survey (1-3yrs)</t>
  </si>
  <si>
    <t>2. Past Survey</t>
  </si>
  <si>
    <t>What is the basis of estimation of UWSS services provided in slums?</t>
  </si>
  <si>
    <t>How are records of information on slums maintained for?</t>
  </si>
  <si>
    <t>Individual toilets</t>
  </si>
  <si>
    <t>Door to door collection of MSW</t>
  </si>
  <si>
    <t>Water Production, treatment and consumption</t>
  </si>
  <si>
    <t>Basis of measurement of water produced at WTP/tube wells</t>
  </si>
  <si>
    <t>1. Bulk flow meters</t>
  </si>
  <si>
    <t>2. Pump/level details</t>
  </si>
  <si>
    <t>Basis of measurement of water supplied from bulk distribution points</t>
  </si>
  <si>
    <t>3. Periodic sample surveys</t>
  </si>
  <si>
    <t>How are records maintained at WTP/tube wells?</t>
  </si>
  <si>
    <t>How are records maintained at bulk distribution points like ESRs, etc?</t>
  </si>
  <si>
    <t>Quality of Water</t>
  </si>
  <si>
    <t>Are proper records of samples conducted and passed/failed at source, WTP/bore wells, bulk distribution points and consumer end maintained?</t>
  </si>
  <si>
    <t xml:space="preserve">Are tests for quality conducted through </t>
  </si>
  <si>
    <t>1. Own laboratory regularly</t>
  </si>
  <si>
    <t>2. Accredited centres regularly</t>
  </si>
  <si>
    <t>3.  Third party agencies intermittently</t>
  </si>
  <si>
    <t>How are audits to monitor water quality procedures carried out?</t>
  </si>
  <si>
    <t>1. by independent agencies periodically</t>
  </si>
  <si>
    <t>2. ULB itself occassionally</t>
  </si>
  <si>
    <t>Record Keeping</t>
  </si>
  <si>
    <t>Continuity of water supplied</t>
  </si>
  <si>
    <t xml:space="preserve">How is the duration of water supplied for the city estimated? </t>
  </si>
  <si>
    <t>1. Valve operating points across zones</t>
  </si>
  <si>
    <t>2. Periodic surveys</t>
  </si>
  <si>
    <t>3. Feedback from city field engineers</t>
  </si>
  <si>
    <t>Is adequacy of pressure and hours of supply at consumer end assessed?</t>
  </si>
  <si>
    <t>Record keeping</t>
  </si>
  <si>
    <t xml:space="preserve">Metering of Water Connections </t>
  </si>
  <si>
    <t>Are meters installed at consumer level?</t>
  </si>
  <si>
    <t>Extent of metering of connections</t>
  </si>
  <si>
    <t>1. At all consumer points</t>
  </si>
  <si>
    <t>2. Only bulk &amp; commercial consumers</t>
  </si>
  <si>
    <t>How are functional meters assessed?</t>
  </si>
  <si>
    <t>1. Regular reading and billing of meters</t>
  </si>
  <si>
    <t xml:space="preserve">2. Spot checks </t>
  </si>
  <si>
    <t xml:space="preserve">How is household consumption estimated? </t>
  </si>
  <si>
    <t>1. Meters installed at all consumer points</t>
  </si>
  <si>
    <t>2. Periodic Survey</t>
  </si>
  <si>
    <t>3. Spot Survey</t>
  </si>
  <si>
    <t>4. Ferrule size and hours of supply</t>
  </si>
  <si>
    <t>Wastewater collection and treatment</t>
  </si>
  <si>
    <t xml:space="preserve">How is quantity of wastewater collected by network estimated?  </t>
  </si>
  <si>
    <t>1.Bulk flow meters at inlet of treatment plant</t>
  </si>
  <si>
    <t>2. V-Notch at outlet of channel</t>
  </si>
  <si>
    <t>3. Installed Plant Capacity</t>
  </si>
  <si>
    <t>How is quantity of wastewater actually treated estimated?</t>
  </si>
  <si>
    <t>1.Bulk flow meters at outlet of treatment plant</t>
  </si>
  <si>
    <t xml:space="preserve">How treatment plant system capacity is assessed?  </t>
  </si>
  <si>
    <t>1. Through rigorous testing and commissioning procedures</t>
  </si>
  <si>
    <t>2. On the basis of reliable operational data</t>
  </si>
  <si>
    <t>3. No estimate of treatment capacity that is actually functional and in operation</t>
  </si>
  <si>
    <t xml:space="preserve">How is quantity of septage collected estimated?  </t>
  </si>
  <si>
    <t>1.Bulk meters at inlet of treatment plant</t>
  </si>
  <si>
    <t>2. Register maintained for number and volume of trucks emptier at the treatment plant or dump site</t>
  </si>
  <si>
    <t>4. Number of septic tank cleaned annually</t>
  </si>
  <si>
    <t>How quantity of septage actually treated estimated?</t>
  </si>
  <si>
    <t>1.Weighing scale at outlet of treatment plant</t>
  </si>
  <si>
    <t>2. Installed Plant Capacity</t>
  </si>
  <si>
    <t>Quality of Wastewater</t>
  </si>
  <si>
    <t>Are proper records of samples conducted and passed/failed for all parameters (BOD, COD, etc) maintained?</t>
  </si>
  <si>
    <t>How are audits to monitor waste water quality procedures carried out?</t>
  </si>
  <si>
    <t>SWM</t>
  </si>
  <si>
    <t>How is quantity of waste generated estimated?</t>
  </si>
  <si>
    <t>1. Quarterly/ sample surveys</t>
  </si>
  <si>
    <t>2. Per capita waste generation</t>
  </si>
  <si>
    <t>How is quantity of waste segregated estimated?</t>
  </si>
  <si>
    <t>1. Measurement at treatment/disposal site</t>
  </si>
  <si>
    <t>2.  HHs &amp; establishments with two bins</t>
  </si>
  <si>
    <t>3. inputs from door to door collection agencies</t>
  </si>
  <si>
    <t>Estimation of municipal waste received at</t>
  </si>
  <si>
    <t>Treatment plant</t>
  </si>
  <si>
    <t>1. Weighbrige</t>
  </si>
  <si>
    <t>2. On the basis of Trips</t>
  </si>
  <si>
    <t>3. Aggregate mass balance</t>
  </si>
  <si>
    <t>4. Installed capacity</t>
  </si>
  <si>
    <t>Scientific landfill</t>
  </si>
  <si>
    <t>Open dumps</t>
  </si>
  <si>
    <t>Record keeping at</t>
  </si>
  <si>
    <t>Finance</t>
  </si>
  <si>
    <t>Is regualar (quarterly/annual) reporting of the financial statements conducted to state/central agencies?</t>
  </si>
  <si>
    <t>Are arrears segregated from current demand in financial statements/budgets?</t>
  </si>
  <si>
    <t>Extent of segregation of  budget heads for</t>
  </si>
  <si>
    <t>1. Fully</t>
  </si>
  <si>
    <t>2. Partially</t>
  </si>
  <si>
    <t>Accounting System</t>
  </si>
  <si>
    <t>1. Accrual-Double entry</t>
  </si>
  <si>
    <t>2. Cash Based</t>
  </si>
  <si>
    <t>3. Both systems</t>
  </si>
  <si>
    <t xml:space="preserve">Are records maintained for charges collected against the specific bill issued? </t>
  </si>
  <si>
    <t>1. Water Supply</t>
  </si>
  <si>
    <t>2. Sewerage</t>
  </si>
  <si>
    <t>3. SWM</t>
  </si>
  <si>
    <t>Are DCB tables linked to billing and collection system?</t>
  </si>
  <si>
    <t>Billing systems</t>
  </si>
  <si>
    <t>Are billing and collection records regularly updated?</t>
  </si>
  <si>
    <t>Complaint Redressal System</t>
  </si>
  <si>
    <t>Are records of complaints resolved maintained?</t>
  </si>
  <si>
    <t>System for Collating, sorting and tracking of complaints</t>
  </si>
  <si>
    <t>Are the records of types of complaints (low water pressure, no water, sewer blocks, etc) maintained?</t>
  </si>
  <si>
    <t>Are multiple mechanisms to register complaints (through telephone, in person, by email) available to the consumers in</t>
  </si>
  <si>
    <t>FY 2015-2016</t>
  </si>
  <si>
    <t>FY 2014-2015</t>
  </si>
  <si>
    <t>FY 2013-2014</t>
  </si>
  <si>
    <t>FY 2012-2013</t>
  </si>
  <si>
    <t>FY 2011-2012</t>
  </si>
  <si>
    <t>FY 2010-2011</t>
  </si>
  <si>
    <t>FY 2009-2010</t>
  </si>
  <si>
    <t>FY 2008-2009</t>
  </si>
  <si>
    <t>Rajnandgaon</t>
  </si>
  <si>
    <t xml:space="preserve"> Water Department</t>
  </si>
  <si>
    <t xml:space="preserve"> Shri J N Srivastava</t>
  </si>
  <si>
    <t xml:space="preserve"> Astt. Engineer</t>
  </si>
  <si>
    <t xml:space="preserve"> Municpal corporation Rajnandgaon</t>
  </si>
  <si>
    <t>07744-222563</t>
  </si>
  <si>
    <t>9406225292</t>
  </si>
  <si>
    <t>07744-404893</t>
  </si>
  <si>
    <t xml:space="preserve"> mcrrajnandgaon@rediffmail.com</t>
  </si>
  <si>
    <t xml:space="preserve"> Shri Atul Chopda</t>
  </si>
  <si>
    <t xml:space="preserve"> Sub. Engineer</t>
  </si>
  <si>
    <t>9907473092</t>
  </si>
  <si>
    <t xml:space="preserve"> Health Department</t>
  </si>
  <si>
    <t xml:space="preserve"> Shri Ajay Yadav</t>
  </si>
  <si>
    <t xml:space="preserve"> Health Officer</t>
  </si>
  <si>
    <t xml:space="preserve"> Health office indira nagar Near pani Tanki Rajnandgaon</t>
  </si>
  <si>
    <t>9424116018</t>
  </si>
  <si>
    <t xml:space="preserve"> Shri Rajesh Mishra</t>
  </si>
  <si>
    <t xml:space="preserve"> Senetary Inspector</t>
  </si>
  <si>
    <t>9303947901</t>
  </si>
  <si>
    <t xml:space="preserve"> Shri Deepak shrivastava</t>
  </si>
  <si>
    <t xml:space="preserve"> Acting Senitary Inspector</t>
  </si>
  <si>
    <t xml:space="preserve">  Health office indira nagar Near pani Tanki Rajnandgaon</t>
  </si>
  <si>
    <t>7587160345</t>
  </si>
  <si>
    <t>9425240050</t>
  </si>
  <si>
    <t>NA</t>
  </si>
  <si>
    <t>YES</t>
  </si>
  <si>
    <t>NO</t>
  </si>
  <si>
    <t>2</t>
  </si>
  <si>
    <t>ND</t>
  </si>
  <si>
    <t>Y</t>
  </si>
  <si>
    <t>N</t>
  </si>
  <si>
    <t>Water Department</t>
  </si>
  <si>
    <t>Mr. Jaynarayan Shrivastav</t>
  </si>
  <si>
    <t>Assistant Engineer</t>
  </si>
  <si>
    <t>Nagar Palika Nigam Rajnandgaon</t>
  </si>
  <si>
    <t>9406425292</t>
  </si>
  <si>
    <t>07744404893</t>
  </si>
  <si>
    <t>mrcrajnandgaon@rediffmail.com</t>
  </si>
  <si>
    <t>7744222563</t>
  </si>
  <si>
    <t>7744404893</t>
  </si>
  <si>
    <t>09303947901</t>
  </si>
  <si>
    <t>-1</t>
  </si>
  <si>
    <t xml:space="preserve">Mr. Satrendra Singh </t>
  </si>
  <si>
    <t>E E</t>
  </si>
  <si>
    <t>9425242955</t>
  </si>
  <si>
    <t>rmcrajnandgaon@rediffmail.com</t>
  </si>
  <si>
    <t>9329487890</t>
  </si>
  <si>
    <t>rmcrajnandgaon@rediff.maill.com</t>
  </si>
  <si>
    <t>Mr. R K Sahu</t>
  </si>
  <si>
    <t>Corporation Rajnandgaon</t>
  </si>
  <si>
    <t>9302869051</t>
  </si>
  <si>
    <t>Mr. M K Deshmukh</t>
  </si>
  <si>
    <t>Sub-Engineer</t>
  </si>
  <si>
    <t>Health Office</t>
  </si>
  <si>
    <t>Mr. Ajay Yadav</t>
  </si>
  <si>
    <t>Health Officer</t>
  </si>
  <si>
    <t>Mr. Rajesh Mishra</t>
  </si>
  <si>
    <t>Jr. SI</t>
  </si>
  <si>
    <t>9406245292</t>
  </si>
  <si>
    <t>Shri Deepak Joshi</t>
  </si>
  <si>
    <t>Executive Engineer</t>
  </si>
  <si>
    <t>Municipal Corporation Rajnandgaon</t>
  </si>
  <si>
    <t>mcrrajnandgaon@rediffmail.com</t>
  </si>
  <si>
    <t>0.0</t>
  </si>
  <si>
    <t>4.0</t>
  </si>
</sst>
</file>

<file path=xl/styles.xml><?xml version="1.0" encoding="utf-8"?>
<styleSheet xmlns="http://schemas.openxmlformats.org/spreadsheetml/2006/main">
  <numFmts count="5">
    <numFmt numFmtId="172" formatCode="#,##0.00;[Red]#,##0.00"/>
    <numFmt numFmtId="173" formatCode="0.0"/>
    <numFmt numFmtId="174" formatCode="\$#,##0.0"/>
    <numFmt numFmtId="175" formatCode="#,##0.0"/>
    <numFmt numFmtId="177" formatCode="#,##0;[Red]#,##0"/>
  </numFmts>
  <fonts count="21">
    <font>
      <sz val="11"/>
      <color indexed="8"/>
      <name val="Calibri"/>
      <family val="2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9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i/>
      <sz val="9"/>
      <name val="Arial"/>
      <family val="2"/>
    </font>
    <font>
      <sz val="10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4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478">
    <xf numFmtId="0" fontId="0" fillId="0" borderId="0" xfId="0"/>
    <xf numFmtId="0" fontId="3" fillId="0" borderId="0" xfId="0" applyFont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 applyProtection="1">
      <alignment horizontal="left"/>
    </xf>
    <xf numFmtId="0" fontId="6" fillId="5" borderId="2" xfId="0" applyFont="1" applyFill="1" applyBorder="1" applyAlignment="1" applyProtection="1">
      <alignment horizontal="center"/>
    </xf>
    <xf numFmtId="0" fontId="7" fillId="2" borderId="3" xfId="0" applyFont="1" applyFill="1" applyBorder="1"/>
    <xf numFmtId="0" fontId="8" fillId="6" borderId="3" xfId="0" applyFont="1" applyFill="1" applyBorder="1" applyAlignment="1" applyProtection="1">
      <alignment horizontal="left" vertical="center"/>
      <protection locked="0"/>
    </xf>
    <xf numFmtId="0" fontId="7" fillId="6" borderId="4" xfId="0" applyFont="1" applyFill="1" applyBorder="1"/>
    <xf numFmtId="0" fontId="3" fillId="2" borderId="1" xfId="0" applyFont="1" applyFill="1" applyBorder="1"/>
    <xf numFmtId="0" fontId="3" fillId="4" borderId="1" xfId="0" applyFont="1" applyFill="1" applyBorder="1" applyAlignment="1" applyProtection="1">
      <alignment horizontal="left" vertical="center"/>
      <protection locked="0"/>
    </xf>
    <xf numFmtId="0" fontId="2" fillId="7" borderId="5" xfId="0" applyFont="1" applyFill="1" applyBorder="1" applyAlignment="1" applyProtection="1">
      <alignment horizontal="center"/>
      <protection locked="0"/>
    </xf>
    <xf numFmtId="172" fontId="3" fillId="4" borderId="1" xfId="0" applyNumberFormat="1" applyFont="1" applyFill="1" applyBorder="1"/>
    <xf numFmtId="172" fontId="3" fillId="8" borderId="1" xfId="0" applyNumberFormat="1" applyFont="1" applyFill="1" applyBorder="1"/>
    <xf numFmtId="172" fontId="3" fillId="4" borderId="5" xfId="0" applyNumberFormat="1" applyFont="1" applyFill="1" applyBorder="1"/>
    <xf numFmtId="0" fontId="3" fillId="4" borderId="1" xfId="0" applyFont="1" applyFill="1" applyBorder="1" applyAlignment="1" applyProtection="1">
      <alignment horizontal="left" vertical="center" wrapText="1"/>
      <protection locked="0"/>
    </xf>
    <xf numFmtId="172" fontId="3" fillId="4" borderId="1" xfId="0" applyNumberFormat="1" applyFont="1" applyFill="1" applyBorder="1" applyAlignment="1">
      <alignment horizontal="right"/>
    </xf>
    <xf numFmtId="0" fontId="3" fillId="9" borderId="0" xfId="0" applyFont="1" applyFill="1" applyBorder="1" applyAlignment="1">
      <alignment horizontal="center"/>
    </xf>
    <xf numFmtId="0" fontId="7" fillId="2" borderId="1" xfId="0" applyFont="1" applyFill="1" applyBorder="1"/>
    <xf numFmtId="0" fontId="7" fillId="6" borderId="6" xfId="0" applyFont="1" applyFill="1" applyBorder="1"/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/>
    <xf numFmtId="0" fontId="3" fillId="9" borderId="0" xfId="0" applyFont="1" applyFill="1" applyBorder="1" applyAlignment="1">
      <alignment vertical="top"/>
    </xf>
    <xf numFmtId="0" fontId="3" fillId="9" borderId="8" xfId="0" applyFont="1" applyFill="1" applyBorder="1"/>
    <xf numFmtId="0" fontId="3" fillId="9" borderId="0" xfId="0" applyFont="1" applyFill="1" applyBorder="1"/>
    <xf numFmtId="0" fontId="3" fillId="9" borderId="9" xfId="0" applyFont="1" applyFill="1" applyBorder="1"/>
    <xf numFmtId="0" fontId="3" fillId="9" borderId="10" xfId="0" applyFont="1" applyFill="1" applyBorder="1"/>
    <xf numFmtId="0" fontId="3" fillId="0" borderId="1" xfId="0" applyNumberFormat="1" applyFont="1" applyBorder="1"/>
    <xf numFmtId="0" fontId="3" fillId="0" borderId="6" xfId="0" applyNumberFormat="1" applyFont="1" applyBorder="1"/>
    <xf numFmtId="0" fontId="4" fillId="10" borderId="0" xfId="0" applyFont="1" applyFill="1" applyBorder="1" applyAlignment="1">
      <alignment horizontal="center"/>
    </xf>
    <xf numFmtId="0" fontId="5" fillId="5" borderId="2" xfId="0" applyFont="1" applyFill="1" applyBorder="1" applyAlignment="1" applyProtection="1">
      <alignment horizontal="center"/>
    </xf>
    <xf numFmtId="17" fontId="5" fillId="5" borderId="2" xfId="0" applyNumberFormat="1" applyFont="1" applyFill="1" applyBorder="1" applyAlignment="1" applyProtection="1">
      <alignment horizontal="center"/>
    </xf>
    <xf numFmtId="0" fontId="3" fillId="11" borderId="1" xfId="0" applyFont="1" applyFill="1" applyBorder="1" applyProtection="1"/>
    <xf numFmtId="0" fontId="9" fillId="11" borderId="1" xfId="0" applyFont="1" applyFill="1" applyBorder="1" applyAlignment="1" applyProtection="1">
      <alignment horizontal="left" vertical="center"/>
    </xf>
    <xf numFmtId="0" fontId="9" fillId="11" borderId="1" xfId="0" applyFont="1" applyFill="1" applyBorder="1" applyAlignment="1" applyProtection="1">
      <alignment horizontal="center"/>
    </xf>
    <xf numFmtId="173" fontId="9" fillId="11" borderId="1" xfId="0" applyNumberFormat="1" applyFont="1" applyFill="1" applyBorder="1" applyAlignment="1" applyProtection="1">
      <alignment horizontal="right"/>
    </xf>
    <xf numFmtId="0" fontId="7" fillId="6" borderId="1" xfId="0" applyFont="1" applyFill="1" applyBorder="1" applyProtection="1"/>
    <xf numFmtId="0" fontId="10" fillId="6" borderId="1" xfId="0" applyFont="1" applyFill="1" applyBorder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left" vertical="center"/>
    </xf>
    <xf numFmtId="0" fontId="2" fillId="4" borderId="1" xfId="0" applyFont="1" applyFill="1" applyBorder="1" applyAlignment="1" applyProtection="1"/>
    <xf numFmtId="0" fontId="2" fillId="4" borderId="1" xfId="0" applyFont="1" applyFill="1" applyBorder="1" applyAlignment="1" applyProtection="1">
      <alignment horizontal="right"/>
    </xf>
    <xf numFmtId="0" fontId="2" fillId="8" borderId="1" xfId="0" applyFont="1" applyFill="1" applyBorder="1" applyAlignment="1" applyProtection="1"/>
    <xf numFmtId="0" fontId="2" fillId="8" borderId="1" xfId="0" applyFont="1" applyFill="1" applyBorder="1" applyAlignment="1" applyProtection="1">
      <alignment horizontal="right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right"/>
    </xf>
    <xf numFmtId="0" fontId="3" fillId="6" borderId="1" xfId="0" applyFont="1" applyFill="1" applyBorder="1" applyProtection="1"/>
    <xf numFmtId="0" fontId="11" fillId="6" borderId="1" xfId="0" applyFont="1" applyFill="1" applyBorder="1" applyAlignment="1" applyProtection="1">
      <alignment horizontal="center"/>
    </xf>
    <xf numFmtId="17" fontId="11" fillId="6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10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right"/>
    </xf>
    <xf numFmtId="0" fontId="9" fillId="11" borderId="1" xfId="0" applyFont="1" applyFill="1" applyBorder="1" applyProtection="1"/>
    <xf numFmtId="0" fontId="9" fillId="11" borderId="1" xfId="0" applyFont="1" applyFill="1" applyBorder="1" applyAlignment="1" applyProtection="1"/>
    <xf numFmtId="2" fontId="9" fillId="11" borderId="1" xfId="0" applyNumberFormat="1" applyFont="1" applyFill="1" applyBorder="1" applyAlignment="1">
      <alignment horizontal="right"/>
    </xf>
    <xf numFmtId="0" fontId="10" fillId="6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2" fontId="2" fillId="8" borderId="1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173" fontId="9" fillId="11" borderId="1" xfId="0" applyNumberFormat="1" applyFont="1" applyFill="1" applyBorder="1" applyAlignment="1">
      <alignment horizontal="right"/>
    </xf>
    <xf numFmtId="2" fontId="9" fillId="11" borderId="1" xfId="0" applyNumberFormat="1" applyFont="1" applyFill="1" applyBorder="1"/>
    <xf numFmtId="0" fontId="2" fillId="4" borderId="1" xfId="0" applyFont="1" applyFill="1" applyBorder="1" applyAlignment="1" applyProtection="1">
      <alignment horizontal="left"/>
    </xf>
    <xf numFmtId="1" fontId="2" fillId="4" borderId="1" xfId="0" applyNumberFormat="1" applyFont="1" applyFill="1" applyBorder="1" applyAlignment="1" applyProtection="1">
      <alignment horizontal="right"/>
    </xf>
    <xf numFmtId="0" fontId="9" fillId="11" borderId="1" xfId="0" applyFont="1" applyFill="1" applyBorder="1" applyAlignment="1" applyProtection="1">
      <alignment horizontal="left"/>
    </xf>
    <xf numFmtId="1" fontId="9" fillId="11" borderId="1" xfId="0" applyNumberFormat="1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/>
    <xf numFmtId="0" fontId="2" fillId="4" borderId="1" xfId="0" applyFont="1" applyFill="1" applyBorder="1" applyAlignment="1" applyProtection="1">
      <alignment wrapText="1"/>
    </xf>
    <xf numFmtId="1" fontId="2" fillId="8" borderId="1" xfId="0" applyNumberFormat="1" applyFont="1" applyFill="1" applyBorder="1" applyAlignment="1" applyProtection="1">
      <alignment horizontal="right"/>
    </xf>
    <xf numFmtId="0" fontId="9" fillId="11" borderId="1" xfId="0" applyFont="1" applyFill="1" applyBorder="1" applyAlignment="1" applyProtection="1">
      <alignment horizontal="center"/>
    </xf>
    <xf numFmtId="0" fontId="2" fillId="12" borderId="1" xfId="0" applyFont="1" applyFill="1" applyBorder="1" applyAlignment="1" applyProtection="1"/>
    <xf numFmtId="2" fontId="2" fillId="12" borderId="1" xfId="0" applyNumberFormat="1" applyFont="1" applyFill="1" applyBorder="1" applyAlignment="1" applyProtection="1">
      <alignment horizontal="right"/>
    </xf>
    <xf numFmtId="0" fontId="12" fillId="6" borderId="1" xfId="0" applyFont="1" applyFill="1" applyBorder="1" applyProtection="1"/>
    <xf numFmtId="0" fontId="3" fillId="4" borderId="1" xfId="0" applyFont="1" applyFill="1" applyBorder="1" applyAlignment="1" applyProtection="1"/>
    <xf numFmtId="2" fontId="9" fillId="11" borderId="1" xfId="0" applyNumberFormat="1" applyFont="1" applyFill="1" applyBorder="1" applyAlignment="1" applyProtection="1">
      <alignment horizontal="right"/>
      <protection locked="0"/>
    </xf>
    <xf numFmtId="0" fontId="5" fillId="10" borderId="0" xfId="0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left" vertical="center"/>
    </xf>
    <xf numFmtId="0" fontId="2" fillId="13" borderId="1" xfId="0" applyFont="1" applyFill="1" applyBorder="1" applyAlignment="1" applyProtection="1"/>
    <xf numFmtId="0" fontId="2" fillId="8" borderId="1" xfId="0" applyFont="1" applyFill="1" applyBorder="1" applyAlignment="1" applyProtection="1"/>
    <xf numFmtId="0" fontId="2" fillId="8" borderId="1" xfId="0" applyFont="1" applyFill="1" applyBorder="1" applyAlignment="1" applyProtection="1">
      <alignment horizontal="right"/>
    </xf>
    <xf numFmtId="0" fontId="8" fillId="8" borderId="1" xfId="0" applyFont="1" applyFill="1" applyBorder="1" applyAlignment="1" applyProtection="1"/>
    <xf numFmtId="0" fontId="6" fillId="14" borderId="3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left"/>
    </xf>
    <xf numFmtId="0" fontId="6" fillId="14" borderId="6" xfId="0" applyFont="1" applyFill="1" applyBorder="1" applyAlignment="1" applyProtection="1">
      <alignment horizontal="center"/>
    </xf>
    <xf numFmtId="0" fontId="2" fillId="12" borderId="1" xfId="0" applyFont="1" applyFill="1" applyBorder="1" applyAlignment="1" applyProtection="1">
      <alignment horizontal="center"/>
    </xf>
    <xf numFmtId="0" fontId="2" fillId="12" borderId="1" xfId="0" applyFont="1" applyFill="1" applyBorder="1" applyProtection="1"/>
    <xf numFmtId="1" fontId="2" fillId="12" borderId="1" xfId="0" applyNumberFormat="1" applyFont="1" applyFill="1" applyBorder="1" applyAlignment="1" applyProtection="1">
      <alignment horizontal="right"/>
      <protection locked="0"/>
    </xf>
    <xf numFmtId="0" fontId="3" fillId="12" borderId="1" xfId="0" applyFont="1" applyFill="1" applyBorder="1" applyProtection="1"/>
    <xf numFmtId="2" fontId="2" fillId="12" borderId="1" xfId="0" applyNumberFormat="1" applyFont="1" applyFill="1" applyBorder="1" applyAlignment="1" applyProtection="1">
      <alignment horizontal="right"/>
      <protection locked="0"/>
    </xf>
    <xf numFmtId="0" fontId="6" fillId="14" borderId="3" xfId="0" applyFont="1" applyFill="1" applyBorder="1" applyAlignment="1">
      <alignment horizontal="left"/>
    </xf>
    <xf numFmtId="0" fontId="9" fillId="14" borderId="6" xfId="0" applyFont="1" applyFill="1" applyBorder="1" applyProtection="1"/>
    <xf numFmtId="0" fontId="2" fillId="12" borderId="3" xfId="0" applyFont="1" applyFill="1" applyBorder="1" applyAlignment="1" applyProtection="1">
      <alignment horizontal="center"/>
    </xf>
    <xf numFmtId="0" fontId="2" fillId="12" borderId="3" xfId="0" applyFont="1" applyFill="1" applyBorder="1" applyProtection="1"/>
    <xf numFmtId="0" fontId="2" fillId="12" borderId="6" xfId="0" applyFont="1" applyFill="1" applyBorder="1" applyAlignment="1" applyProtection="1">
      <alignment horizontal="center"/>
    </xf>
    <xf numFmtId="1" fontId="2" fillId="12" borderId="1" xfId="0" applyNumberFormat="1" applyFont="1" applyFill="1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wrapText="1"/>
    </xf>
    <xf numFmtId="0" fontId="9" fillId="11" borderId="1" xfId="0" applyFont="1" applyFill="1" applyBorder="1"/>
    <xf numFmtId="0" fontId="9" fillId="11" borderId="1" xfId="0" applyFont="1" applyFill="1" applyBorder="1" applyAlignment="1">
      <alignment horizontal="center"/>
    </xf>
    <xf numFmtId="0" fontId="7" fillId="6" borderId="1" xfId="0" applyFont="1" applyFill="1" applyBorder="1"/>
    <xf numFmtId="0" fontId="10" fillId="6" borderId="1" xfId="0" applyFont="1" applyFill="1" applyBorder="1" applyAlignment="1" applyProtection="1">
      <alignment horizontal="left" vertical="center"/>
      <protection locked="0"/>
    </xf>
    <xf numFmtId="0" fontId="10" fillId="6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/>
    <xf numFmtId="0" fontId="2" fillId="8" borderId="1" xfId="0" applyFont="1" applyFill="1" applyBorder="1" applyAlignment="1" applyProtection="1">
      <protection locked="0"/>
    </xf>
    <xf numFmtId="0" fontId="2" fillId="8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/>
    <xf numFmtId="0" fontId="2" fillId="4" borderId="6" xfId="0" applyFont="1" applyFill="1" applyBorder="1" applyAlignment="1" applyProtection="1"/>
    <xf numFmtId="0" fontId="2" fillId="8" borderId="6" xfId="0" applyFont="1" applyFill="1" applyBorder="1" applyAlignment="1" applyProtection="1"/>
    <xf numFmtId="0" fontId="9" fillId="11" borderId="6" xfId="0" applyFont="1" applyFill="1" applyBorder="1" applyAlignment="1" applyProtection="1"/>
    <xf numFmtId="0" fontId="9" fillId="11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/>
    <xf numFmtId="0" fontId="3" fillId="0" borderId="11" xfId="0" applyFont="1" applyFill="1" applyBorder="1"/>
    <xf numFmtId="173" fontId="2" fillId="8" borderId="1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173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9" fillId="11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9" fillId="11" borderId="1" xfId="0" applyFont="1" applyFill="1" applyBorder="1" applyAlignment="1">
      <alignment horizontal="right"/>
    </xf>
    <xf numFmtId="0" fontId="2" fillId="4" borderId="1" xfId="0" applyFont="1" applyFill="1" applyBorder="1" applyAlignment="1" applyProtection="1">
      <alignment horizontal="left"/>
      <protection locked="0"/>
    </xf>
    <xf numFmtId="2" fontId="3" fillId="8" borderId="1" xfId="0" applyNumberFormat="1" applyFont="1" applyFill="1" applyBorder="1" applyAlignment="1">
      <alignment horizontal="right"/>
    </xf>
    <xf numFmtId="0" fontId="12" fillId="6" borderId="1" xfId="0" applyFont="1" applyFill="1" applyBorder="1"/>
    <xf numFmtId="173" fontId="9" fillId="11" borderId="1" xfId="0" applyNumberFormat="1" applyFont="1" applyFill="1" applyBorder="1" applyAlignment="1" applyProtection="1">
      <alignment horizontal="right"/>
      <protection locked="0"/>
    </xf>
    <xf numFmtId="0" fontId="5" fillId="15" borderId="0" xfId="0" applyFont="1" applyFill="1" applyBorder="1" applyAlignment="1" applyProtection="1">
      <alignment horizontal="center"/>
      <protection locked="0"/>
    </xf>
    <xf numFmtId="0" fontId="9" fillId="11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8" fillId="6" borderId="0" xfId="0" applyFont="1" applyFill="1" applyBorder="1" applyAlignment="1" applyProtection="1">
      <alignment horizontal="left" vertical="center"/>
      <protection locked="0"/>
    </xf>
    <xf numFmtId="0" fontId="8" fillId="8" borderId="1" xfId="0" applyFont="1" applyFill="1" applyBorder="1" applyProtection="1">
      <protection locked="0"/>
    </xf>
    <xf numFmtId="0" fontId="2" fillId="8" borderId="6" xfId="0" applyFont="1" applyFill="1" applyBorder="1" applyProtection="1">
      <protection locked="0"/>
    </xf>
    <xf numFmtId="0" fontId="8" fillId="8" borderId="6" xfId="0" applyFont="1" applyFill="1" applyBorder="1" applyProtection="1">
      <protection locked="0"/>
    </xf>
    <xf numFmtId="0" fontId="9" fillId="14" borderId="1" xfId="0" applyFont="1" applyFill="1" applyBorder="1"/>
    <xf numFmtId="0" fontId="13" fillId="14" borderId="6" xfId="0" applyFont="1" applyFill="1" applyBorder="1" applyAlignment="1" applyProtection="1">
      <alignment horizontal="center"/>
    </xf>
    <xf numFmtId="1" fontId="2" fillId="12" borderId="1" xfId="0" applyNumberFormat="1" applyFont="1" applyFill="1" applyBorder="1" applyAlignment="1" applyProtection="1">
      <alignment horizontal="center"/>
    </xf>
    <xf numFmtId="0" fontId="9" fillId="14" borderId="0" xfId="0" applyFont="1" applyFill="1" applyBorder="1" applyProtection="1">
      <protection locked="0"/>
    </xf>
    <xf numFmtId="0" fontId="9" fillId="14" borderId="12" xfId="0" applyFont="1" applyFill="1" applyBorder="1" applyProtection="1"/>
    <xf numFmtId="0" fontId="9" fillId="14" borderId="13" xfId="0" applyFont="1" applyFill="1" applyBorder="1" applyProtection="1"/>
    <xf numFmtId="0" fontId="14" fillId="12" borderId="3" xfId="0" applyFont="1" applyFill="1" applyBorder="1" applyAlignment="1" applyProtection="1">
      <alignment horizontal="center"/>
    </xf>
    <xf numFmtId="0" fontId="14" fillId="12" borderId="3" xfId="0" applyFont="1" applyFill="1" applyBorder="1" applyProtection="1"/>
    <xf numFmtId="49" fontId="2" fillId="12" borderId="6" xfId="0" applyNumberFormat="1" applyFont="1" applyFill="1" applyBorder="1" applyAlignment="1" applyProtection="1">
      <alignment horizontal="center"/>
    </xf>
    <xf numFmtId="49" fontId="2" fillId="12" borderId="1" xfId="0" applyNumberFormat="1" applyFont="1" applyFill="1" applyBorder="1" applyAlignment="1" applyProtection="1">
      <alignment horizontal="center"/>
    </xf>
    <xf numFmtId="2" fontId="2" fillId="12" borderId="1" xfId="0" applyNumberFormat="1" applyFont="1" applyFill="1" applyBorder="1" applyAlignment="1" applyProtection="1">
      <alignment horizontal="center"/>
    </xf>
    <xf numFmtId="0" fontId="2" fillId="14" borderId="0" xfId="0" applyFont="1" applyFill="1" applyBorder="1" applyProtection="1">
      <protection locked="0"/>
    </xf>
    <xf numFmtId="173" fontId="2" fillId="12" borderId="1" xfId="0" applyNumberFormat="1" applyFont="1" applyFill="1" applyBorder="1" applyAlignment="1" applyProtection="1">
      <alignment horizontal="center"/>
      <protection locked="0"/>
    </xf>
    <xf numFmtId="2" fontId="2" fillId="12" borderId="1" xfId="0" applyNumberFormat="1" applyFont="1" applyFill="1" applyBorder="1" applyAlignment="1" applyProtection="1">
      <alignment horizontal="center"/>
      <protection locked="0"/>
    </xf>
    <xf numFmtId="0" fontId="9" fillId="11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right"/>
    </xf>
    <xf numFmtId="0" fontId="10" fillId="6" borderId="1" xfId="0" applyFont="1" applyFill="1" applyBorder="1" applyAlignment="1" applyProtection="1"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8" borderId="1" xfId="0" applyFont="1" applyFill="1" applyBorder="1" applyAlignment="1" applyProtection="1">
      <alignment wrapText="1"/>
      <protection locked="0"/>
    </xf>
    <xf numFmtId="1" fontId="3" fillId="8" borderId="1" xfId="0" applyNumberFormat="1" applyFont="1" applyFill="1" applyBorder="1"/>
    <xf numFmtId="0" fontId="9" fillId="11" borderId="3" xfId="0" applyFont="1" applyFill="1" applyBorder="1" applyAlignment="1" applyProtection="1">
      <protection locked="0"/>
    </xf>
    <xf numFmtId="0" fontId="2" fillId="6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73" fontId="3" fillId="8" borderId="1" xfId="0" applyNumberFormat="1" applyFont="1" applyFill="1" applyBorder="1"/>
    <xf numFmtId="2" fontId="3" fillId="8" borderId="1" xfId="0" applyNumberFormat="1" applyFont="1" applyFill="1" applyBorder="1"/>
    <xf numFmtId="0" fontId="12" fillId="6" borderId="1" xfId="0" applyFont="1" applyFill="1" applyBorder="1" applyAlignment="1">
      <alignment horizontal="right"/>
    </xf>
    <xf numFmtId="0" fontId="10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protection locked="0"/>
    </xf>
    <xf numFmtId="0" fontId="3" fillId="13" borderId="1" xfId="0" applyFont="1" applyFill="1" applyBorder="1"/>
    <xf numFmtId="0" fontId="2" fillId="4" borderId="3" xfId="0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center"/>
    </xf>
    <xf numFmtId="173" fontId="9" fillId="11" borderId="1" xfId="0" applyNumberFormat="1" applyFont="1" applyFill="1" applyBorder="1"/>
    <xf numFmtId="0" fontId="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indent="1"/>
    </xf>
    <xf numFmtId="0" fontId="9" fillId="11" borderId="0" xfId="0" applyFont="1" applyFill="1"/>
    <xf numFmtId="0" fontId="3" fillId="6" borderId="1" xfId="0" applyFont="1" applyFill="1" applyBorder="1" applyAlignment="1" applyProtection="1">
      <alignment horizontal="right"/>
    </xf>
    <xf numFmtId="0" fontId="3" fillId="4" borderId="1" xfId="0" applyFont="1" applyFill="1" applyBorder="1"/>
    <xf numFmtId="0" fontId="3" fillId="13" borderId="1" xfId="0" applyFont="1" applyFill="1" applyBorder="1" applyAlignment="1" applyProtection="1">
      <alignment horizontal="right"/>
    </xf>
    <xf numFmtId="0" fontId="2" fillId="13" borderId="1" xfId="0" applyFont="1" applyFill="1" applyBorder="1" applyAlignment="1" applyProtection="1">
      <alignment horizontal="left"/>
    </xf>
    <xf numFmtId="0" fontId="3" fillId="13" borderId="0" xfId="0" applyFont="1" applyFill="1" applyAlignment="1">
      <alignment horizontal="right"/>
    </xf>
    <xf numFmtId="0" fontId="3" fillId="13" borderId="0" xfId="0" applyFont="1" applyFill="1"/>
    <xf numFmtId="0" fontId="2" fillId="13" borderId="1" xfId="0" applyFont="1" applyFill="1" applyBorder="1" applyAlignment="1" applyProtection="1">
      <protection locked="0"/>
    </xf>
    <xf numFmtId="0" fontId="3" fillId="13" borderId="1" xfId="0" applyFont="1" applyFill="1" applyBorder="1" applyAlignment="1">
      <alignment horizontal="right"/>
    </xf>
    <xf numFmtId="0" fontId="2" fillId="13" borderId="1" xfId="0" applyFont="1" applyFill="1" applyBorder="1" applyAlignment="1" applyProtection="1">
      <alignment horizontal="center"/>
      <protection locked="0"/>
    </xf>
    <xf numFmtId="0" fontId="6" fillId="14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vertical="top"/>
    </xf>
    <xf numFmtId="173" fontId="2" fillId="12" borderId="1" xfId="0" applyNumberFormat="1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1" fontId="2" fillId="12" borderId="1" xfId="0" applyNumberFormat="1" applyFont="1" applyFill="1" applyBorder="1" applyAlignment="1">
      <alignment horizontal="center" vertical="center"/>
    </xf>
    <xf numFmtId="174" fontId="2" fillId="12" borderId="1" xfId="0" applyNumberFormat="1" applyFont="1" applyFill="1" applyBorder="1" applyAlignment="1">
      <alignment horizontal="center" vertical="center"/>
    </xf>
    <xf numFmtId="175" fontId="2" fillId="12" borderId="1" xfId="0" applyNumberFormat="1" applyFont="1" applyFill="1" applyBorder="1" applyAlignment="1">
      <alignment horizontal="center" vertical="center"/>
    </xf>
    <xf numFmtId="0" fontId="2" fillId="12" borderId="9" xfId="0" applyFont="1" applyFill="1" applyBorder="1" applyProtection="1"/>
    <xf numFmtId="0" fontId="2" fillId="12" borderId="14" xfId="0" applyFont="1" applyFill="1" applyBorder="1" applyAlignment="1" applyProtection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/>
    </xf>
    <xf numFmtId="0" fontId="9" fillId="11" borderId="0" xfId="0" applyFont="1" applyFill="1" applyBorder="1" applyAlignment="1" applyProtection="1">
      <alignment horizontal="left" vertical="center"/>
      <protection locked="0"/>
    </xf>
    <xf numFmtId="0" fontId="8" fillId="6" borderId="10" xfId="0" applyFont="1" applyFill="1" applyBorder="1" applyAlignment="1" applyProtection="1">
      <protection locked="0"/>
    </xf>
    <xf numFmtId="0" fontId="2" fillId="6" borderId="0" xfId="0" applyFont="1" applyFill="1" applyBorder="1" applyAlignment="1" applyProtection="1"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1" fontId="2" fillId="8" borderId="1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protection locked="0"/>
    </xf>
    <xf numFmtId="0" fontId="2" fillId="4" borderId="1" xfId="0" applyFont="1" applyFill="1" applyBorder="1" applyAlignment="1">
      <alignment horizontal="center" wrapText="1"/>
    </xf>
    <xf numFmtId="0" fontId="10" fillId="0" borderId="10" xfId="0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protection locked="0"/>
    </xf>
    <xf numFmtId="1" fontId="2" fillId="4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173" fontId="8" fillId="0" borderId="0" xfId="0" applyNumberFormat="1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protection locked="0"/>
    </xf>
    <xf numFmtId="0" fontId="9" fillId="11" borderId="4" xfId="0" applyFont="1" applyFill="1" applyBorder="1" applyAlignment="1" applyProtection="1">
      <alignment vertical="center"/>
      <protection locked="0"/>
    </xf>
    <xf numFmtId="173" fontId="2" fillId="4" borderId="1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/>
    </xf>
    <xf numFmtId="1" fontId="16" fillId="4" borderId="1" xfId="0" applyNumberFormat="1" applyFont="1" applyFill="1" applyBorder="1" applyAlignment="1" applyProtection="1">
      <alignment horizontal="center"/>
      <protection locked="0"/>
    </xf>
    <xf numFmtId="1" fontId="17" fillId="4" borderId="1" xfId="0" applyNumberFormat="1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>
      <alignment horizontal="left" indent="1"/>
    </xf>
    <xf numFmtId="0" fontId="8" fillId="4" borderId="4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/>
    <xf numFmtId="0" fontId="8" fillId="12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left" wrapText="1"/>
    </xf>
    <xf numFmtId="1" fontId="2" fillId="12" borderId="1" xfId="0" applyNumberFormat="1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/>
    <xf numFmtId="0" fontId="5" fillId="11" borderId="15" xfId="0" applyFont="1" applyFill="1" applyBorder="1" applyAlignment="1">
      <alignment horizontal="center"/>
    </xf>
    <xf numFmtId="17" fontId="5" fillId="11" borderId="16" xfId="0" applyNumberFormat="1" applyFont="1" applyFill="1" applyBorder="1" applyAlignment="1">
      <alignment horizontal="center"/>
    </xf>
    <xf numFmtId="17" fontId="5" fillId="11" borderId="17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5" fillId="11" borderId="22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left"/>
    </xf>
    <xf numFmtId="0" fontId="2" fillId="0" borderId="15" xfId="0" applyFont="1" applyBorder="1"/>
    <xf numFmtId="0" fontId="8" fillId="0" borderId="16" xfId="0" applyFont="1" applyFill="1" applyBorder="1" applyAlignment="1"/>
    <xf numFmtId="0" fontId="3" fillId="0" borderId="16" xfId="0" applyFont="1" applyBorder="1"/>
    <xf numFmtId="0" fontId="3" fillId="0" borderId="17" xfId="0" applyFont="1" applyBorder="1"/>
    <xf numFmtId="0" fontId="2" fillId="0" borderId="23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/>
    <xf numFmtId="0" fontId="3" fillId="0" borderId="24" xfId="0" applyFont="1" applyBorder="1"/>
    <xf numFmtId="0" fontId="8" fillId="0" borderId="1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0" fontId="5" fillId="11" borderId="23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left"/>
    </xf>
    <xf numFmtId="0" fontId="5" fillId="11" borderId="24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24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8" fillId="0" borderId="6" xfId="0" applyFont="1" applyBorder="1" applyAlignment="1"/>
    <xf numFmtId="0" fontId="2" fillId="0" borderId="25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3" fillId="2" borderId="1" xfId="0" applyNumberFormat="1" applyFont="1" applyFill="1" applyBorder="1"/>
    <xf numFmtId="2" fontId="7" fillId="2" borderId="3" xfId="0" applyNumberFormat="1" applyFont="1" applyFill="1" applyBorder="1"/>
    <xf numFmtId="2" fontId="3" fillId="0" borderId="1" xfId="0" applyNumberFormat="1" applyFont="1" applyBorder="1"/>
    <xf numFmtId="2" fontId="3" fillId="0" borderId="1" xfId="0" applyNumberFormat="1" applyFont="1" applyBorder="1" applyProtection="1"/>
    <xf numFmtId="2" fontId="3" fillId="0" borderId="1" xfId="0" applyNumberFormat="1" applyFont="1" applyBorder="1" applyAlignment="1">
      <alignment horizontal="right"/>
    </xf>
    <xf numFmtId="2" fontId="3" fillId="13" borderId="1" xfId="0" applyNumberFormat="1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7" borderId="5" xfId="0" applyFont="1" applyFill="1" applyBorder="1" applyAlignment="1" applyProtection="1">
      <alignment horizontal="center"/>
      <protection locked="0"/>
    </xf>
    <xf numFmtId="2" fontId="2" fillId="0" borderId="26" xfId="0" applyNumberFormat="1" applyFont="1" applyFill="1" applyBorder="1" applyAlignment="1" applyProtection="1">
      <alignment horizontal="right"/>
    </xf>
    <xf numFmtId="0" fontId="2" fillId="0" borderId="26" xfId="0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7" borderId="9" xfId="0" applyFont="1" applyFill="1" applyBorder="1" applyAlignment="1" applyProtection="1">
      <alignment horizontal="center"/>
      <protection locked="0"/>
    </xf>
    <xf numFmtId="1" fontId="2" fillId="4" borderId="26" xfId="0" applyNumberFormat="1" applyFont="1" applyFill="1" applyBorder="1" applyAlignment="1" applyProtection="1">
      <alignment horizontal="right"/>
      <protection locked="0"/>
    </xf>
    <xf numFmtId="173" fontId="2" fillId="0" borderId="26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10" fillId="4" borderId="26" xfId="0" applyFont="1" applyFill="1" applyBorder="1" applyAlignment="1" applyProtection="1">
      <alignment wrapText="1"/>
      <protection locked="0"/>
    </xf>
    <xf numFmtId="0" fontId="19" fillId="4" borderId="26" xfId="0" applyFont="1" applyFill="1" applyBorder="1" applyAlignment="1" applyProtection="1">
      <alignment wrapText="1"/>
      <protection locked="0"/>
    </xf>
    <xf numFmtId="1" fontId="2" fillId="4" borderId="5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1" fontId="2" fillId="4" borderId="26" xfId="0" applyNumberFormat="1" applyFon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>
      <alignment wrapText="1"/>
    </xf>
    <xf numFmtId="0" fontId="10" fillId="4" borderId="26" xfId="0" applyFont="1" applyFill="1" applyBorder="1" applyAlignment="1">
      <alignment wrapText="1"/>
    </xf>
    <xf numFmtId="0" fontId="10" fillId="4" borderId="28" xfId="0" applyFont="1" applyFill="1" applyBorder="1" applyAlignment="1">
      <alignment wrapText="1"/>
    </xf>
    <xf numFmtId="0" fontId="2" fillId="4" borderId="26" xfId="0" applyFont="1" applyFill="1" applyBorder="1" applyAlignment="1">
      <alignment wrapText="1"/>
    </xf>
    <xf numFmtId="0" fontId="14" fillId="6" borderId="1" xfId="0" applyFont="1" applyFill="1" applyBorder="1" applyAlignment="1" applyProtection="1">
      <alignment horizontal="center"/>
    </xf>
    <xf numFmtId="0" fontId="14" fillId="6" borderId="2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wrapText="1"/>
      <protection locked="0"/>
    </xf>
    <xf numFmtId="0" fontId="10" fillId="6" borderId="1" xfId="0" applyFont="1" applyFill="1" applyBorder="1" applyAlignment="1" applyProtection="1">
      <alignment horizontal="center"/>
    </xf>
    <xf numFmtId="0" fontId="2" fillId="0" borderId="1" xfId="0" applyFont="1" applyBorder="1"/>
    <xf numFmtId="0" fontId="7" fillId="0" borderId="29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5" fillId="11" borderId="29" xfId="0" applyFont="1" applyFill="1" applyBorder="1" applyAlignment="1" applyProtection="1">
      <alignment horizontal="center" vertical="center"/>
      <protection locked="0"/>
    </xf>
    <xf numFmtId="0" fontId="9" fillId="11" borderId="31" xfId="0" applyFont="1" applyFill="1" applyBorder="1" applyAlignment="1" applyProtection="1">
      <alignment horizontal="left" vertical="center"/>
      <protection locked="0"/>
    </xf>
    <xf numFmtId="0" fontId="3" fillId="6" borderId="29" xfId="0" applyFont="1" applyFill="1" applyBorder="1" applyAlignment="1">
      <alignment horizontal="right"/>
    </xf>
    <xf numFmtId="0" fontId="2" fillId="6" borderId="31" xfId="0" applyFont="1" applyFill="1" applyBorder="1" applyAlignment="1" applyProtection="1">
      <protection locked="0"/>
    </xf>
    <xf numFmtId="0" fontId="3" fillId="0" borderId="29" xfId="0" applyFont="1" applyBorder="1" applyAlignment="1">
      <alignment horizontal="right"/>
    </xf>
    <xf numFmtId="1" fontId="2" fillId="8" borderId="30" xfId="0" applyNumberFormat="1" applyFont="1" applyFill="1" applyBorder="1" applyAlignment="1" applyProtection="1">
      <alignment horizontal="right"/>
      <protection locked="0"/>
    </xf>
    <xf numFmtId="1" fontId="2" fillId="4" borderId="30" xfId="0" applyNumberFormat="1" applyFont="1" applyFill="1" applyBorder="1" applyAlignment="1" applyProtection="1">
      <alignment horizontal="right"/>
      <protection locked="0"/>
    </xf>
    <xf numFmtId="0" fontId="2" fillId="4" borderId="30" xfId="0" applyFont="1" applyFill="1" applyBorder="1" applyAlignment="1">
      <alignment horizontal="left"/>
    </xf>
    <xf numFmtId="173" fontId="8" fillId="0" borderId="32" xfId="0" applyNumberFormat="1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protection locked="0"/>
    </xf>
    <xf numFmtId="0" fontId="10" fillId="6" borderId="29" xfId="0" applyFont="1" applyFill="1" applyBorder="1" applyAlignment="1" applyProtection="1"/>
    <xf numFmtId="0" fontId="11" fillId="6" borderId="30" xfId="0" applyFont="1" applyFill="1" applyBorder="1" applyAlignment="1" applyProtection="1">
      <alignment horizontal="center"/>
    </xf>
    <xf numFmtId="1" fontId="2" fillId="4" borderId="30" xfId="0" applyNumberFormat="1" applyFont="1" applyFill="1" applyBorder="1" applyAlignment="1" applyProtection="1">
      <alignment horizontal="center"/>
      <protection locked="0"/>
    </xf>
    <xf numFmtId="2" fontId="3" fillId="0" borderId="29" xfId="0" applyNumberFormat="1" applyFont="1" applyBorder="1" applyAlignment="1">
      <alignment horizontal="right"/>
    </xf>
    <xf numFmtId="2" fontId="2" fillId="4" borderId="30" xfId="0" applyNumberFormat="1" applyFont="1" applyFill="1" applyBorder="1" applyAlignment="1" applyProtection="1">
      <alignment horizontal="center"/>
      <protection locked="0"/>
    </xf>
    <xf numFmtId="173" fontId="8" fillId="0" borderId="32" xfId="0" applyNumberFormat="1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protection locked="0"/>
    </xf>
    <xf numFmtId="173" fontId="8" fillId="0" borderId="33" xfId="0" applyNumberFormat="1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protection locked="0"/>
    </xf>
    <xf numFmtId="2" fontId="2" fillId="0" borderId="29" xfId="0" applyNumberFormat="1" applyFont="1" applyFill="1" applyBorder="1" applyAlignment="1" applyProtection="1">
      <alignment horizontal="right"/>
      <protection locked="0"/>
    </xf>
    <xf numFmtId="0" fontId="2" fillId="0" borderId="29" xfId="0" applyFont="1" applyFill="1" applyBorder="1" applyAlignment="1" applyProtection="1">
      <alignment horizontal="right"/>
      <protection locked="0"/>
    </xf>
    <xf numFmtId="0" fontId="3" fillId="0" borderId="32" xfId="0" applyFont="1" applyBorder="1"/>
    <xf numFmtId="0" fontId="3" fillId="0" borderId="0" xfId="0" applyFont="1" applyBorder="1"/>
    <xf numFmtId="0" fontId="3" fillId="0" borderId="31" xfId="0" applyFont="1" applyBorder="1"/>
    <xf numFmtId="0" fontId="5" fillId="10" borderId="31" xfId="0" applyFont="1" applyFill="1" applyBorder="1" applyAlignment="1" applyProtection="1">
      <alignment horizontal="center"/>
    </xf>
    <xf numFmtId="173" fontId="8" fillId="0" borderId="31" xfId="0" applyNumberFormat="1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protection locked="0"/>
    </xf>
    <xf numFmtId="0" fontId="9" fillId="11" borderId="35" xfId="0" applyFont="1" applyFill="1" applyBorder="1" applyAlignment="1" applyProtection="1">
      <alignment vertical="center"/>
      <protection locked="0"/>
    </xf>
    <xf numFmtId="173" fontId="2" fillId="4" borderId="30" xfId="0" applyNumberFormat="1" applyFont="1" applyFill="1" applyBorder="1" applyAlignment="1">
      <alignment horizontal="right" vertical="center" wrapText="1"/>
    </xf>
    <xf numFmtId="1" fontId="2" fillId="4" borderId="30" xfId="0" applyNumberFormat="1" applyFont="1" applyFill="1" applyBorder="1" applyAlignment="1" applyProtection="1">
      <protection locked="0"/>
    </xf>
    <xf numFmtId="0" fontId="2" fillId="4" borderId="30" xfId="0" applyFont="1" applyFill="1" applyBorder="1" applyAlignment="1">
      <alignment horizontal="center"/>
    </xf>
    <xf numFmtId="173" fontId="2" fillId="0" borderId="32" xfId="0" applyNumberFormat="1" applyFont="1" applyFill="1" applyBorder="1" applyAlignment="1" applyProtection="1">
      <alignment horizontal="center"/>
    </xf>
    <xf numFmtId="0" fontId="18" fillId="4" borderId="30" xfId="0" applyFont="1" applyFill="1" applyBorder="1" applyAlignment="1">
      <alignment horizontal="left" indent="1"/>
    </xf>
    <xf numFmtId="0" fontId="8" fillId="4" borderId="35" xfId="0" applyFont="1" applyFill="1" applyBorder="1" applyAlignment="1" applyProtection="1">
      <alignment horizontal="left"/>
      <protection locked="0"/>
    </xf>
    <xf numFmtId="0" fontId="10" fillId="6" borderId="36" xfId="0" applyFont="1" applyFill="1" applyBorder="1" applyAlignment="1" applyProtection="1"/>
    <xf numFmtId="0" fontId="14" fillId="6" borderId="37" xfId="0" applyFont="1" applyFill="1" applyBorder="1" applyAlignment="1" applyProtection="1">
      <alignment horizontal="center"/>
    </xf>
    <xf numFmtId="0" fontId="14" fillId="6" borderId="30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right"/>
      <protection locked="0"/>
    </xf>
    <xf numFmtId="0" fontId="10" fillId="6" borderId="30" xfId="0" applyFont="1" applyFill="1" applyBorder="1" applyAlignment="1" applyProtection="1">
      <alignment horizontal="center"/>
    </xf>
    <xf numFmtId="0" fontId="2" fillId="0" borderId="39" xfId="0" applyFont="1" applyFill="1" applyBorder="1" applyAlignment="1" applyProtection="1">
      <protection locked="0"/>
    </xf>
    <xf numFmtId="0" fontId="2" fillId="4" borderId="35" xfId="0" applyFont="1" applyFill="1" applyBorder="1" applyAlignment="1" applyProtection="1">
      <alignment horizontal="center"/>
      <protection locked="0"/>
    </xf>
    <xf numFmtId="0" fontId="6" fillId="14" borderId="29" xfId="0" applyFont="1" applyFill="1" applyBorder="1" applyAlignment="1">
      <alignment horizontal="center"/>
    </xf>
    <xf numFmtId="0" fontId="6" fillId="14" borderId="35" xfId="0" applyFont="1" applyFill="1" applyBorder="1" applyAlignment="1" applyProtection="1">
      <alignment horizontal="center"/>
    </xf>
    <xf numFmtId="0" fontId="3" fillId="12" borderId="29" xfId="0" applyFont="1" applyFill="1" applyBorder="1" applyAlignment="1">
      <alignment horizontal="center"/>
    </xf>
    <xf numFmtId="173" fontId="2" fillId="12" borderId="30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 applyProtection="1">
      <protection locked="0"/>
    </xf>
    <xf numFmtId="0" fontId="2" fillId="0" borderId="34" xfId="0" applyFont="1" applyFill="1" applyBorder="1" applyAlignment="1" applyProtection="1">
      <protection locked="0"/>
    </xf>
    <xf numFmtId="0" fontId="2" fillId="12" borderId="29" xfId="0" applyFont="1" applyFill="1" applyBorder="1" applyAlignment="1" applyProtection="1">
      <alignment horizontal="center"/>
    </xf>
    <xf numFmtId="2" fontId="2" fillId="12" borderId="30" xfId="0" applyNumberFormat="1" applyFont="1" applyFill="1" applyBorder="1" applyAlignment="1" applyProtection="1">
      <alignment horizontal="center"/>
    </xf>
    <xf numFmtId="0" fontId="2" fillId="0" borderId="32" xfId="0" applyFont="1" applyFill="1" applyBorder="1" applyAlignment="1"/>
    <xf numFmtId="0" fontId="6" fillId="14" borderId="29" xfId="0" applyFont="1" applyFill="1" applyBorder="1" applyAlignment="1" applyProtection="1">
      <alignment horizontal="center"/>
    </xf>
    <xf numFmtId="0" fontId="8" fillId="12" borderId="29" xfId="0" applyFont="1" applyFill="1" applyBorder="1" applyAlignment="1">
      <alignment horizontal="center"/>
    </xf>
    <xf numFmtId="0" fontId="2" fillId="12" borderId="0" xfId="0" applyFont="1" applyFill="1" applyBorder="1" applyAlignment="1" applyProtection="1">
      <protection locked="0"/>
    </xf>
    <xf numFmtId="0" fontId="2" fillId="12" borderId="31" xfId="0" applyFont="1" applyFill="1" applyBorder="1" applyAlignment="1" applyProtection="1">
      <protection locked="0"/>
    </xf>
    <xf numFmtId="0" fontId="2" fillId="12" borderId="39" xfId="0" applyFont="1" applyFill="1" applyBorder="1" applyAlignment="1"/>
    <xf numFmtId="1" fontId="2" fillId="12" borderId="30" xfId="0" applyNumberFormat="1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2" fillId="12" borderId="30" xfId="0" applyFont="1" applyFill="1" applyBorder="1" applyAlignment="1"/>
    <xf numFmtId="0" fontId="2" fillId="12" borderId="38" xfId="0" applyFont="1" applyFill="1" applyBorder="1" applyAlignment="1"/>
    <xf numFmtId="0" fontId="8" fillId="12" borderId="30" xfId="0" applyFont="1" applyFill="1" applyBorder="1" applyAlignment="1">
      <alignment horizontal="center"/>
    </xf>
    <xf numFmtId="0" fontId="2" fillId="12" borderId="40" xfId="0" applyFont="1" applyFill="1" applyBorder="1" applyAlignment="1"/>
    <xf numFmtId="0" fontId="2" fillId="12" borderId="41" xfId="0" applyFont="1" applyFill="1" applyBorder="1" applyAlignment="1" applyProtection="1">
      <protection locked="0"/>
    </xf>
    <xf numFmtId="0" fontId="8" fillId="12" borderId="41" xfId="0" applyFont="1" applyFill="1" applyBorder="1" applyAlignment="1">
      <alignment horizontal="center"/>
    </xf>
    <xf numFmtId="0" fontId="8" fillId="12" borderId="42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2" fillId="6" borderId="5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5" fillId="7" borderId="23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/>
    </xf>
    <xf numFmtId="0" fontId="5" fillId="7" borderId="24" xfId="0" applyFont="1" applyFill="1" applyBorder="1" applyAlignment="1" applyProtection="1">
      <alignment horizontal="left"/>
    </xf>
    <xf numFmtId="0" fontId="2" fillId="0" borderId="23" xfId="0" applyFont="1" applyBorder="1" applyAlignment="1" applyProtection="1"/>
    <xf numFmtId="0" fontId="8" fillId="0" borderId="1" xfId="0" applyFont="1" applyBorder="1" applyAlignment="1" applyProtection="1"/>
    <xf numFmtId="0" fontId="20" fillId="0" borderId="23" xfId="0" applyFont="1" applyBorder="1"/>
    <xf numFmtId="0" fontId="20" fillId="0" borderId="1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0" fillId="0" borderId="0" xfId="0" applyFont="1"/>
    <xf numFmtId="0" fontId="20" fillId="0" borderId="1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8" fillId="11" borderId="43" xfId="0" applyFont="1" applyFill="1" applyBorder="1" applyAlignment="1"/>
    <xf numFmtId="0" fontId="8" fillId="11" borderId="44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177" fontId="3" fillId="8" borderId="1" xfId="0" applyNumberFormat="1" applyFont="1" applyFill="1" applyBorder="1"/>
    <xf numFmtId="0" fontId="7" fillId="0" borderId="1" xfId="0" applyFont="1" applyBorder="1" applyAlignment="1" applyProtection="1">
      <alignment horizontal="left" wrapText="1"/>
    </xf>
    <xf numFmtId="0" fontId="10" fillId="6" borderId="1" xfId="0" applyFont="1" applyFill="1" applyBorder="1" applyAlignment="1" applyProtection="1">
      <alignment wrapText="1"/>
    </xf>
    <xf numFmtId="0" fontId="2" fillId="4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0" fillId="4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>
      <alignment horizontal="left" wrapText="1"/>
    </xf>
    <xf numFmtId="0" fontId="10" fillId="0" borderId="10" xfId="0" applyFont="1" applyFill="1" applyBorder="1" applyAlignment="1" applyProtection="1">
      <alignment wrapText="1"/>
      <protection locked="0"/>
    </xf>
    <xf numFmtId="0" fontId="3" fillId="0" borderId="0" xfId="0" applyFont="1" applyBorder="1" applyAlignment="1">
      <alignment wrapText="1"/>
    </xf>
    <xf numFmtId="0" fontId="2" fillId="8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/>
    </xf>
    <xf numFmtId="0" fontId="9" fillId="11" borderId="3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6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3" xfId="0" applyFont="1" applyFill="1" applyBorder="1" applyAlignment="1">
      <alignment horizontal="left" wrapText="1"/>
    </xf>
    <xf numFmtId="0" fontId="2" fillId="4" borderId="6" xfId="0" applyFont="1" applyFill="1" applyBorder="1" applyAlignment="1" applyProtection="1">
      <alignment horizontal="left" wrapText="1"/>
      <protection locked="0"/>
    </xf>
    <xf numFmtId="0" fontId="2" fillId="4" borderId="6" xfId="0" applyFont="1" applyFill="1" applyBorder="1" applyAlignment="1">
      <alignment horizontal="left" wrapText="1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6" fillId="14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vertical="top" wrapText="1"/>
    </xf>
    <xf numFmtId="0" fontId="2" fillId="0" borderId="10" xfId="0" applyFont="1" applyFill="1" applyBorder="1" applyAlignment="1" applyProtection="1">
      <alignment wrapText="1"/>
      <protection locked="0"/>
    </xf>
    <xf numFmtId="0" fontId="6" fillId="14" borderId="3" xfId="0" applyFont="1" applyFill="1" applyBorder="1" applyAlignment="1">
      <alignment horizontal="left" wrapText="1"/>
    </xf>
    <xf numFmtId="0" fontId="2" fillId="12" borderId="9" xfId="0" applyFont="1" applyFill="1" applyBorder="1" applyAlignment="1" applyProtection="1">
      <alignment wrapText="1"/>
    </xf>
    <xf numFmtId="0" fontId="14" fillId="12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6" fillId="14" borderId="6" xfId="0" applyFont="1" applyFill="1" applyBorder="1" applyAlignment="1" applyProtection="1">
      <alignment horizontal="left" wrapText="1"/>
    </xf>
    <xf numFmtId="0" fontId="8" fillId="12" borderId="1" xfId="0" applyFont="1" applyFill="1" applyBorder="1" applyAlignment="1">
      <alignment wrapText="1"/>
    </xf>
    <xf numFmtId="0" fontId="14" fillId="12" borderId="9" xfId="0" applyFont="1" applyFill="1" applyBorder="1" applyAlignment="1" applyProtection="1">
      <alignment wrapText="1"/>
    </xf>
    <xf numFmtId="0" fontId="10" fillId="12" borderId="9" xfId="0" applyFont="1" applyFill="1" applyBorder="1" applyAlignment="1" applyProtection="1">
      <alignment wrapText="1"/>
    </xf>
    <xf numFmtId="0" fontId="8" fillId="12" borderId="45" xfId="0" applyFont="1" applyFill="1" applyBorder="1" applyAlignment="1">
      <alignment wrapText="1"/>
    </xf>
    <xf numFmtId="0" fontId="3" fillId="0" borderId="0" xfId="0" applyFont="1" applyAlignment="1">
      <alignment wrapText="1"/>
    </xf>
    <xf numFmtId="2" fontId="1" fillId="16" borderId="1" xfId="0" applyNumberFormat="1" applyFont="1" applyFill="1" applyBorder="1"/>
    <xf numFmtId="1" fontId="1" fillId="0" borderId="1" xfId="0" applyNumberFormat="1" applyFont="1" applyBorder="1"/>
    <xf numFmtId="2" fontId="1" fillId="0" borderId="1" xfId="0" applyNumberFormat="1" applyFont="1" applyBorder="1"/>
    <xf numFmtId="2" fontId="1" fillId="17" borderId="1" xfId="0" applyNumberFormat="1" applyFont="1" applyFill="1" applyBorder="1"/>
    <xf numFmtId="1" fontId="1" fillId="17" borderId="1" xfId="0" applyNumberFormat="1" applyFont="1" applyFill="1" applyBorder="1"/>
    <xf numFmtId="0" fontId="3" fillId="9" borderId="3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</xf>
    <xf numFmtId="0" fontId="5" fillId="10" borderId="1" xfId="0" applyFont="1" applyFill="1" applyBorder="1" applyAlignment="1" applyProtection="1">
      <alignment horizontal="center"/>
    </xf>
    <xf numFmtId="0" fontId="10" fillId="6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5" fillId="1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11" borderId="3" xfId="0" applyFont="1" applyFill="1" applyBorder="1" applyAlignment="1" applyProtection="1">
      <alignment horizontal="left" vertical="center"/>
      <protection locked="0"/>
    </xf>
    <xf numFmtId="0" fontId="5" fillId="10" borderId="29" xfId="0" applyFont="1" applyFill="1" applyBorder="1" applyAlignment="1" applyProtection="1">
      <alignment horizontal="center"/>
    </xf>
    <xf numFmtId="0" fontId="4" fillId="10" borderId="47" xfId="0" applyFont="1" applyFill="1" applyBorder="1" applyAlignment="1">
      <alignment horizontal="center"/>
    </xf>
    <xf numFmtId="0" fontId="4" fillId="10" borderId="48" xfId="0" applyFont="1" applyFill="1" applyBorder="1" applyAlignment="1">
      <alignment horizontal="center"/>
    </xf>
    <xf numFmtId="0" fontId="4" fillId="10" borderId="49" xfId="0" applyFont="1" applyFill="1" applyBorder="1" applyAlignment="1">
      <alignment horizontal="center"/>
    </xf>
    <xf numFmtId="0" fontId="4" fillId="10" borderId="32" xfId="0" applyFont="1" applyFill="1" applyBorder="1" applyAlignment="1">
      <alignment horizontal="center"/>
    </xf>
    <xf numFmtId="0" fontId="4" fillId="10" borderId="31" xfId="0" applyFont="1" applyFill="1" applyBorder="1" applyAlignment="1">
      <alignment horizontal="center"/>
    </xf>
    <xf numFmtId="0" fontId="4" fillId="10" borderId="33" xfId="0" applyFont="1" applyFill="1" applyBorder="1" applyAlignment="1">
      <alignment horizontal="center"/>
    </xf>
    <xf numFmtId="0" fontId="4" fillId="10" borderId="34" xfId="0" applyFont="1" applyFill="1" applyBorder="1" applyAlignment="1">
      <alignment horizontal="center"/>
    </xf>
    <xf numFmtId="173" fontId="8" fillId="0" borderId="46" xfId="0" applyNumberFormat="1" applyFont="1" applyFill="1" applyBorder="1" applyAlignment="1" applyProtection="1">
      <alignment horizontal="center"/>
    </xf>
    <xf numFmtId="173" fontId="8" fillId="0" borderId="3" xfId="0" applyNumberFormat="1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35" xfId="0" applyFont="1" applyFill="1" applyBorder="1" applyAlignment="1" applyProtection="1">
      <alignment wrapText="1"/>
      <protection locked="0"/>
    </xf>
    <xf numFmtId="0" fontId="5" fillId="7" borderId="1" xfId="0" applyFont="1" applyFill="1" applyBorder="1" applyAlignment="1" applyProtection="1">
      <alignment horizontal="left"/>
    </xf>
    <xf numFmtId="0" fontId="5" fillId="11" borderId="5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 indent="1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5" fillId="11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indent="1"/>
    </xf>
    <xf numFmtId="0" fontId="8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indent="1"/>
    </xf>
    <xf numFmtId="0" fontId="2" fillId="0" borderId="20" xfId="0" applyFont="1" applyBorder="1" applyAlignment="1">
      <alignment horizontal="left" indent="1"/>
    </xf>
    <xf numFmtId="0" fontId="2" fillId="0" borderId="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10" borderId="50" xfId="0" applyFont="1" applyFill="1" applyBorder="1" applyAlignment="1">
      <alignment horizontal="center"/>
    </xf>
    <xf numFmtId="0" fontId="4" fillId="10" borderId="5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51</xdr:row>
      <xdr:rowOff>0</xdr:rowOff>
    </xdr:from>
    <xdr:to>
      <xdr:col>1</xdr:col>
      <xdr:colOff>1628775</xdr:colOff>
      <xdr:row>53</xdr:row>
      <xdr:rowOff>28575</xdr:rowOff>
    </xdr:to>
    <xdr:pic>
      <xdr:nvPicPr>
        <xdr:cNvPr id="200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8696325"/>
          <a:ext cx="1085850" cy="352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571500</xdr:colOff>
      <xdr:row>50</xdr:row>
      <xdr:rowOff>19050</xdr:rowOff>
    </xdr:from>
    <xdr:to>
      <xdr:col>3</xdr:col>
      <xdr:colOff>304800</xdr:colOff>
      <xdr:row>53</xdr:row>
      <xdr:rowOff>152400</xdr:rowOff>
    </xdr:to>
    <xdr:pic>
      <xdr:nvPicPr>
        <xdr:cNvPr id="2010" name="Picture 237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8553450"/>
          <a:ext cx="685800" cy="6191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3076575</xdr:colOff>
      <xdr:row>49</xdr:row>
      <xdr:rowOff>47625</xdr:rowOff>
    </xdr:from>
    <xdr:to>
      <xdr:col>1</xdr:col>
      <xdr:colOff>3724275</xdr:colOff>
      <xdr:row>54</xdr:row>
      <xdr:rowOff>104775</xdr:rowOff>
    </xdr:to>
    <xdr:pic>
      <xdr:nvPicPr>
        <xdr:cNvPr id="2011" name="Picture 238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419475" y="8420100"/>
          <a:ext cx="647700" cy="866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523875</xdr:colOff>
      <xdr:row>110</xdr:row>
      <xdr:rowOff>95250</xdr:rowOff>
    </xdr:from>
    <xdr:to>
      <xdr:col>1</xdr:col>
      <xdr:colOff>1524000</xdr:colOff>
      <xdr:row>113</xdr:row>
      <xdr:rowOff>0</xdr:rowOff>
    </xdr:to>
    <xdr:pic>
      <xdr:nvPicPr>
        <xdr:cNvPr id="20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6775" y="18345150"/>
          <a:ext cx="1000125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647700</xdr:colOff>
      <xdr:row>110</xdr:row>
      <xdr:rowOff>28575</xdr:rowOff>
    </xdr:from>
    <xdr:to>
      <xdr:col>3</xdr:col>
      <xdr:colOff>476250</xdr:colOff>
      <xdr:row>113</xdr:row>
      <xdr:rowOff>66675</xdr:rowOff>
    </xdr:to>
    <xdr:pic>
      <xdr:nvPicPr>
        <xdr:cNvPr id="2013" name="Picture 237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34050" y="18278475"/>
          <a:ext cx="7810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3248025</xdr:colOff>
      <xdr:row>109</xdr:row>
      <xdr:rowOff>85725</xdr:rowOff>
    </xdr:from>
    <xdr:to>
      <xdr:col>1</xdr:col>
      <xdr:colOff>3743325</xdr:colOff>
      <xdr:row>114</xdr:row>
      <xdr:rowOff>47625</xdr:rowOff>
    </xdr:to>
    <xdr:pic>
      <xdr:nvPicPr>
        <xdr:cNvPr id="2014" name="Picture 238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90925" y="18173700"/>
          <a:ext cx="4953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16"/>
  <sheetViews>
    <sheetView workbookViewId="0">
      <selection sqref="A1:K1"/>
    </sheetView>
  </sheetViews>
  <sheetFormatPr defaultRowHeight="12.75"/>
  <cols>
    <col min="1" max="1" width="5.140625" style="1" bestFit="1" customWidth="1"/>
    <col min="2" max="2" width="71.140625" style="1" bestFit="1" customWidth="1"/>
    <col min="3" max="3" width="14.28515625" style="1" bestFit="1" customWidth="1"/>
    <col min="4" max="4" width="10.28515625" style="1" bestFit="1" customWidth="1"/>
    <col min="5" max="5" width="11" style="1" bestFit="1" customWidth="1"/>
    <col min="6" max="6" width="11.5703125" style="1" bestFit="1" customWidth="1"/>
    <col min="7" max="7" width="10.85546875" style="1" bestFit="1" customWidth="1"/>
    <col min="8" max="8" width="10.5703125" style="1" bestFit="1" customWidth="1"/>
    <col min="9" max="9" width="9.7109375" style="1" bestFit="1" customWidth="1"/>
    <col min="10" max="10" width="10.5703125" style="1" bestFit="1" customWidth="1"/>
    <col min="11" max="11" width="13" style="1" bestFit="1" customWidth="1"/>
    <col min="12" max="12" width="9.140625" style="1" bestFit="1"/>
    <col min="13" max="16384" width="9.140625" style="1"/>
  </cols>
  <sheetData>
    <row r="1" spans="1:11" ht="15.75">
      <c r="A1" s="426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1" ht="15.75">
      <c r="A2" s="426"/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1" ht="15.7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</row>
    <row r="4" spans="1:11">
      <c r="A4" s="2" t="s">
        <v>2</v>
      </c>
      <c r="B4" s="3" t="s">
        <v>3</v>
      </c>
      <c r="C4" s="4" t="s">
        <v>4</v>
      </c>
      <c r="D4" s="420" t="s">
        <v>935</v>
      </c>
      <c r="E4" s="420" t="s">
        <v>934</v>
      </c>
      <c r="F4" s="420" t="s">
        <v>933</v>
      </c>
      <c r="G4" s="420" t="s">
        <v>932</v>
      </c>
      <c r="H4" s="420" t="s">
        <v>931</v>
      </c>
      <c r="I4" s="420" t="s">
        <v>930</v>
      </c>
      <c r="J4" s="420" t="s">
        <v>929</v>
      </c>
      <c r="K4" s="420" t="s">
        <v>928</v>
      </c>
    </row>
    <row r="5" spans="1:11">
      <c r="A5" s="5">
        <v>1</v>
      </c>
      <c r="B5" s="6" t="s">
        <v>12</v>
      </c>
      <c r="C5" s="7"/>
      <c r="D5" s="7"/>
      <c r="E5" s="7"/>
      <c r="F5" s="7"/>
      <c r="G5" s="7"/>
      <c r="H5" s="7"/>
      <c r="I5" s="7"/>
      <c r="J5" s="7"/>
      <c r="K5" s="7"/>
    </row>
    <row r="6" spans="1:11">
      <c r="A6" s="8">
        <v>1.1000000000000001</v>
      </c>
      <c r="B6" s="9" t="s">
        <v>13</v>
      </c>
      <c r="C6" s="10" t="s">
        <v>14</v>
      </c>
      <c r="D6" s="11"/>
      <c r="E6" s="11"/>
      <c r="F6" s="421">
        <v>143770</v>
      </c>
      <c r="G6" s="421">
        <v>143770</v>
      </c>
      <c r="H6" s="421">
        <v>143770</v>
      </c>
      <c r="I6" s="421">
        <v>143770</v>
      </c>
      <c r="J6" s="421">
        <v>143770</v>
      </c>
      <c r="K6" s="421">
        <v>163026</v>
      </c>
    </row>
    <row r="7" spans="1:11">
      <c r="A7" s="8">
        <v>1.2</v>
      </c>
      <c r="B7" s="9" t="s">
        <v>15</v>
      </c>
      <c r="C7" s="10" t="s">
        <v>16</v>
      </c>
      <c r="D7" s="11"/>
      <c r="E7" s="11"/>
      <c r="F7" s="11"/>
      <c r="G7" s="422">
        <v>0.15</v>
      </c>
      <c r="H7" s="422">
        <v>0.15</v>
      </c>
      <c r="I7" s="422">
        <v>15</v>
      </c>
      <c r="J7" s="422">
        <v>15</v>
      </c>
      <c r="K7" s="422">
        <v>15</v>
      </c>
    </row>
    <row r="8" spans="1:11">
      <c r="A8" s="8">
        <v>1.3</v>
      </c>
      <c r="B8" s="9" t="s">
        <v>17</v>
      </c>
      <c r="C8" s="10" t="s">
        <v>14</v>
      </c>
      <c r="D8" s="11"/>
      <c r="E8" s="11"/>
      <c r="F8" s="421">
        <v>165335</v>
      </c>
      <c r="G8" s="421">
        <v>163026</v>
      </c>
      <c r="H8" s="421">
        <v>165471</v>
      </c>
      <c r="I8" s="421">
        <v>170362</v>
      </c>
      <c r="J8" s="421">
        <v>172917</v>
      </c>
      <c r="K8" s="421">
        <v>175511</v>
      </c>
    </row>
    <row r="9" spans="1:11">
      <c r="A9" s="8">
        <v>1.4</v>
      </c>
      <c r="B9" s="9" t="s">
        <v>18</v>
      </c>
      <c r="C9" s="10" t="s">
        <v>19</v>
      </c>
      <c r="D9" s="11"/>
      <c r="E9" s="11"/>
      <c r="F9" s="11"/>
      <c r="G9" s="11"/>
      <c r="H9" s="11"/>
      <c r="I9" s="11"/>
      <c r="J9" s="11"/>
      <c r="K9" s="421">
        <v>35034</v>
      </c>
    </row>
    <row r="10" spans="1:11">
      <c r="A10" s="8">
        <v>1.5</v>
      </c>
      <c r="B10" s="9" t="s">
        <v>20</v>
      </c>
      <c r="C10" s="10" t="s">
        <v>19</v>
      </c>
      <c r="D10" s="13"/>
      <c r="E10" s="13"/>
      <c r="F10" s="421">
        <v>25712</v>
      </c>
      <c r="G10" s="421">
        <v>35034</v>
      </c>
      <c r="H10" s="421">
        <v>35034</v>
      </c>
      <c r="I10" s="421">
        <v>36611</v>
      </c>
      <c r="J10" s="421">
        <v>37136</v>
      </c>
      <c r="K10" s="421">
        <v>37693</v>
      </c>
    </row>
    <row r="11" spans="1:11">
      <c r="A11" s="8">
        <v>1.6</v>
      </c>
      <c r="B11" s="9" t="s">
        <v>21</v>
      </c>
      <c r="C11" s="10" t="s">
        <v>14</v>
      </c>
      <c r="D11" s="12" t="e">
        <f>D6/D9</f>
        <v>#DIV/0!</v>
      </c>
      <c r="E11" s="12" t="e">
        <f t="shared" ref="E11:K11" si="0">IF(OR(E6="nd",E9="nd"),"nd",E6/E9)</f>
        <v>#DIV/0!</v>
      </c>
      <c r="F11" s="12" t="e">
        <f t="shared" si="0"/>
        <v>#DIV/0!</v>
      </c>
      <c r="G11" s="12" t="e">
        <f t="shared" si="0"/>
        <v>#DIV/0!</v>
      </c>
      <c r="H11" s="12" t="e">
        <f t="shared" si="0"/>
        <v>#DIV/0!</v>
      </c>
      <c r="I11" s="12" t="e">
        <f t="shared" si="0"/>
        <v>#DIV/0!</v>
      </c>
      <c r="J11" s="12" t="e">
        <f t="shared" si="0"/>
        <v>#DIV/0!</v>
      </c>
      <c r="K11" s="12">
        <f t="shared" si="0"/>
        <v>4.6533653022777877</v>
      </c>
    </row>
    <row r="12" spans="1:11">
      <c r="A12" s="8">
        <v>1.7</v>
      </c>
      <c r="B12" s="9" t="s">
        <v>22</v>
      </c>
      <c r="C12" s="10" t="s">
        <v>14</v>
      </c>
      <c r="D12" s="12" t="e">
        <f>D8/D10</f>
        <v>#DIV/0!</v>
      </c>
      <c r="E12" s="12" t="e">
        <f t="shared" ref="E12:K12" si="1">IF(OR(E8="nd",E10="nd"),"nd",E8/E10)</f>
        <v>#DIV/0!</v>
      </c>
      <c r="F12" s="12">
        <f t="shared" si="1"/>
        <v>6.4302660236465465</v>
      </c>
      <c r="G12" s="12">
        <f t="shared" si="1"/>
        <v>4.6533653022777877</v>
      </c>
      <c r="H12" s="12">
        <f t="shared" si="1"/>
        <v>4.7231546497687962</v>
      </c>
      <c r="I12" s="12">
        <f t="shared" si="1"/>
        <v>4.6533009204883777</v>
      </c>
      <c r="J12" s="12">
        <f t="shared" si="1"/>
        <v>4.656317320120638</v>
      </c>
      <c r="K12" s="12">
        <f t="shared" si="1"/>
        <v>4.6563287613084654</v>
      </c>
    </row>
    <row r="13" spans="1:11">
      <c r="A13" s="8">
        <v>1.8</v>
      </c>
      <c r="B13" s="9" t="s">
        <v>23</v>
      </c>
      <c r="C13" s="10" t="s">
        <v>19</v>
      </c>
      <c r="D13" s="11"/>
      <c r="E13" s="11"/>
      <c r="F13" s="11"/>
      <c r="G13" s="11"/>
      <c r="H13" s="11"/>
      <c r="I13" s="11"/>
      <c r="J13" s="11"/>
      <c r="K13" s="421">
        <v>32</v>
      </c>
    </row>
    <row r="14" spans="1:11">
      <c r="A14" s="8">
        <v>1.9</v>
      </c>
      <c r="B14" s="9" t="s">
        <v>24</v>
      </c>
      <c r="C14" s="10" t="s">
        <v>19</v>
      </c>
      <c r="D14" s="11"/>
      <c r="E14" s="11"/>
      <c r="F14" s="421">
        <v>45</v>
      </c>
      <c r="G14" s="421">
        <v>45</v>
      </c>
      <c r="H14" s="421">
        <v>32</v>
      </c>
      <c r="I14" s="421">
        <v>45</v>
      </c>
      <c r="J14" s="421">
        <v>45</v>
      </c>
      <c r="K14" s="421">
        <v>32</v>
      </c>
    </row>
    <row r="15" spans="1:11">
      <c r="A15" s="271">
        <v>1.1000000000000001</v>
      </c>
      <c r="B15" s="9" t="s">
        <v>25</v>
      </c>
      <c r="C15" s="10" t="s">
        <v>19</v>
      </c>
      <c r="D15" s="11"/>
      <c r="E15" s="11"/>
      <c r="F15" s="11"/>
      <c r="G15" s="421">
        <v>7731</v>
      </c>
      <c r="H15" s="421">
        <v>7731</v>
      </c>
      <c r="I15" s="421">
        <v>28500</v>
      </c>
      <c r="J15" s="421">
        <v>28500</v>
      </c>
      <c r="K15" s="421">
        <v>21412</v>
      </c>
    </row>
    <row r="16" spans="1:11">
      <c r="A16" s="8">
        <v>1.1100000000000001</v>
      </c>
      <c r="B16" s="9" t="s">
        <v>26</v>
      </c>
      <c r="C16" s="10" t="s">
        <v>19</v>
      </c>
      <c r="D16" s="11"/>
      <c r="E16" s="11"/>
      <c r="F16" s="421">
        <v>7510</v>
      </c>
      <c r="G16" s="421">
        <v>7731</v>
      </c>
      <c r="H16" s="421">
        <v>7846</v>
      </c>
      <c r="I16" s="421">
        <v>29204</v>
      </c>
      <c r="J16" s="421">
        <v>29335</v>
      </c>
      <c r="K16" s="421">
        <v>22697</v>
      </c>
    </row>
    <row r="17" spans="1:11">
      <c r="A17" s="271">
        <v>1.1200000000000001</v>
      </c>
      <c r="B17" s="9" t="s">
        <v>27</v>
      </c>
      <c r="C17" s="10" t="s">
        <v>19</v>
      </c>
      <c r="D17" s="11"/>
      <c r="E17" s="11"/>
      <c r="F17" s="421">
        <v>6325</v>
      </c>
      <c r="G17" s="421">
        <v>6325</v>
      </c>
      <c r="H17" s="421">
        <v>7722</v>
      </c>
      <c r="I17" s="421">
        <v>7722</v>
      </c>
      <c r="J17" s="421">
        <v>7722</v>
      </c>
      <c r="K17" s="421">
        <v>7722</v>
      </c>
    </row>
    <row r="18" spans="1:11">
      <c r="A18" s="8">
        <v>1.1299999999999999</v>
      </c>
      <c r="B18" s="9" t="s">
        <v>28</v>
      </c>
      <c r="C18" s="10" t="s">
        <v>19</v>
      </c>
      <c r="D18" s="11"/>
      <c r="E18" s="11"/>
      <c r="F18" s="421">
        <v>13815</v>
      </c>
      <c r="G18" s="421">
        <v>35034</v>
      </c>
      <c r="H18" s="421">
        <v>8710</v>
      </c>
      <c r="I18" s="421">
        <v>9581</v>
      </c>
      <c r="J18" s="421">
        <v>9778</v>
      </c>
      <c r="K18" s="421">
        <v>27252</v>
      </c>
    </row>
    <row r="19" spans="1:11">
      <c r="A19" s="271">
        <v>1.1399999999999999</v>
      </c>
      <c r="B19" s="9" t="s">
        <v>29</v>
      </c>
      <c r="C19" s="10" t="s">
        <v>19</v>
      </c>
      <c r="D19" s="11"/>
      <c r="E19" s="11"/>
      <c r="F19" s="421">
        <v>45</v>
      </c>
      <c r="G19" s="421">
        <v>45</v>
      </c>
      <c r="H19" s="421">
        <v>45</v>
      </c>
      <c r="I19" s="421">
        <v>45</v>
      </c>
      <c r="J19" s="421">
        <v>45</v>
      </c>
      <c r="K19" s="421">
        <v>45</v>
      </c>
    </row>
    <row r="20" spans="1:11">
      <c r="A20" s="8">
        <v>1.1499999999999999</v>
      </c>
      <c r="B20" s="9" t="s">
        <v>30</v>
      </c>
      <c r="C20" s="10" t="s">
        <v>19</v>
      </c>
      <c r="D20" s="11"/>
      <c r="E20" s="11"/>
      <c r="F20" s="421">
        <v>45</v>
      </c>
      <c r="G20" s="421">
        <v>45</v>
      </c>
      <c r="H20" s="421">
        <v>45</v>
      </c>
      <c r="I20" s="421">
        <v>45</v>
      </c>
      <c r="J20" s="421">
        <v>51</v>
      </c>
      <c r="K20" s="421">
        <v>51</v>
      </c>
    </row>
    <row r="21" spans="1:11">
      <c r="A21" s="271">
        <v>1.1599999999999999</v>
      </c>
      <c r="B21" s="9" t="s">
        <v>31</v>
      </c>
      <c r="C21" s="10" t="s">
        <v>32</v>
      </c>
      <c r="D21" s="11"/>
      <c r="E21" s="11"/>
      <c r="F21" s="11"/>
      <c r="G21" s="11"/>
      <c r="H21" s="11"/>
      <c r="I21" s="11"/>
      <c r="J21" s="11"/>
      <c r="K21" s="422">
        <v>70</v>
      </c>
    </row>
    <row r="22" spans="1:11">
      <c r="A22" s="8">
        <v>1.17</v>
      </c>
      <c r="B22" s="9" t="s">
        <v>33</v>
      </c>
      <c r="C22" s="10" t="s">
        <v>32</v>
      </c>
      <c r="D22" s="11"/>
      <c r="E22" s="11"/>
      <c r="F22" s="422">
        <v>76</v>
      </c>
      <c r="G22" s="422">
        <v>76.05</v>
      </c>
      <c r="H22" s="422">
        <v>76.05</v>
      </c>
      <c r="I22" s="422">
        <v>70</v>
      </c>
      <c r="J22" s="422">
        <v>70</v>
      </c>
      <c r="K22" s="422">
        <v>70</v>
      </c>
    </row>
    <row r="23" spans="1:11">
      <c r="A23" s="271">
        <v>1.18</v>
      </c>
      <c r="B23" s="9" t="s">
        <v>34</v>
      </c>
      <c r="C23" s="10" t="s">
        <v>35</v>
      </c>
      <c r="D23" s="386" t="e">
        <f>D8/D22</f>
        <v>#DIV/0!</v>
      </c>
      <c r="E23" s="386" t="e">
        <f>E8/E22</f>
        <v>#DIV/0!</v>
      </c>
      <c r="F23" s="422">
        <v>2175</v>
      </c>
      <c r="G23" s="422">
        <v>2144</v>
      </c>
      <c r="H23" s="422">
        <v>2176</v>
      </c>
      <c r="I23" s="422">
        <v>2434</v>
      </c>
      <c r="J23" s="422">
        <v>2470</v>
      </c>
      <c r="K23" s="422">
        <v>2507</v>
      </c>
    </row>
    <row r="24" spans="1:11" ht="25.5">
      <c r="A24" s="8">
        <v>1.19</v>
      </c>
      <c r="B24" s="14" t="s">
        <v>36</v>
      </c>
      <c r="C24" s="10" t="s">
        <v>19</v>
      </c>
      <c r="D24" s="11"/>
      <c r="E24" s="11"/>
      <c r="F24" s="421">
        <v>1460</v>
      </c>
      <c r="G24" s="421">
        <v>1460</v>
      </c>
      <c r="H24" s="421">
        <v>2283</v>
      </c>
      <c r="I24" s="421">
        <v>2283</v>
      </c>
      <c r="J24" s="421">
        <v>2283</v>
      </c>
      <c r="K24" s="421">
        <v>2283</v>
      </c>
    </row>
    <row r="25" spans="1:11" ht="25.5">
      <c r="A25" s="271">
        <v>1.2</v>
      </c>
      <c r="B25" s="14" t="s">
        <v>37</v>
      </c>
      <c r="C25" s="10" t="s">
        <v>19</v>
      </c>
      <c r="D25" s="15"/>
      <c r="E25" s="11"/>
      <c r="F25" s="421">
        <v>2270</v>
      </c>
      <c r="G25" s="421">
        <v>2283</v>
      </c>
      <c r="H25" s="421">
        <v>2300</v>
      </c>
      <c r="I25" s="421">
        <v>2390</v>
      </c>
      <c r="J25" s="421">
        <v>2446</v>
      </c>
      <c r="K25" s="421">
        <v>2498</v>
      </c>
    </row>
    <row r="26" spans="1:11">
      <c r="A26" s="425"/>
      <c r="B26" s="425"/>
      <c r="C26" s="425"/>
      <c r="D26" s="425"/>
      <c r="E26" s="425"/>
      <c r="F26" s="16"/>
      <c r="G26" s="16"/>
      <c r="H26" s="16"/>
      <c r="I26" s="16"/>
      <c r="J26" s="16"/>
      <c r="K26" s="16"/>
    </row>
    <row r="27" spans="1:11">
      <c r="A27" s="5"/>
      <c r="B27" s="368" t="s">
        <v>38</v>
      </c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271"/>
      <c r="B28" s="14" t="s">
        <v>38</v>
      </c>
      <c r="C28" s="369"/>
      <c r="D28" s="370" t="s">
        <v>39</v>
      </c>
      <c r="E28" s="370" t="s">
        <v>39</v>
      </c>
      <c r="F28" s="370" t="s">
        <v>39</v>
      </c>
      <c r="G28" s="370" t="s">
        <v>39</v>
      </c>
      <c r="H28" s="370" t="s">
        <v>39</v>
      </c>
      <c r="I28" s="370" t="s">
        <v>39</v>
      </c>
      <c r="J28" s="370" t="s">
        <v>39</v>
      </c>
      <c r="K28" s="370" t="s">
        <v>39</v>
      </c>
    </row>
    <row r="29" spans="1:11">
      <c r="A29" s="425"/>
      <c r="B29" s="425"/>
      <c r="C29" s="425"/>
      <c r="D29" s="425"/>
      <c r="E29" s="425"/>
      <c r="F29" s="16"/>
      <c r="G29" s="16"/>
      <c r="H29" s="16"/>
      <c r="I29" s="16"/>
      <c r="J29" s="16"/>
      <c r="K29" s="16"/>
    </row>
    <row r="30" spans="1:11">
      <c r="A30" s="17">
        <v>2</v>
      </c>
      <c r="B30" s="6" t="s">
        <v>40</v>
      </c>
      <c r="C30" s="7"/>
      <c r="D30" s="7"/>
      <c r="E30" s="18"/>
      <c r="F30" s="18"/>
      <c r="G30" s="18"/>
      <c r="H30" s="18"/>
      <c r="I30" s="18"/>
      <c r="J30" s="18"/>
      <c r="K30" s="18"/>
    </row>
    <row r="31" spans="1:11">
      <c r="A31" s="8">
        <v>2.1</v>
      </c>
      <c r="B31" s="19" t="s">
        <v>41</v>
      </c>
      <c r="C31" s="10"/>
      <c r="D31" s="370" t="s">
        <v>208</v>
      </c>
      <c r="E31" s="370" t="s">
        <v>208</v>
      </c>
      <c r="F31" s="370" t="s">
        <v>936</v>
      </c>
      <c r="G31" s="370" t="s">
        <v>936</v>
      </c>
      <c r="H31" s="370" t="s">
        <v>936</v>
      </c>
      <c r="I31" s="370" t="s">
        <v>936</v>
      </c>
      <c r="J31" s="370" t="s">
        <v>936</v>
      </c>
      <c r="K31" s="370" t="s">
        <v>936</v>
      </c>
    </row>
    <row r="32" spans="1:11">
      <c r="A32" s="8">
        <v>2.2000000000000002</v>
      </c>
      <c r="B32" s="19" t="s">
        <v>42</v>
      </c>
      <c r="C32" s="10"/>
      <c r="D32" s="370" t="s">
        <v>208</v>
      </c>
      <c r="E32" s="370" t="s">
        <v>208</v>
      </c>
      <c r="F32" s="370" t="s">
        <v>968</v>
      </c>
      <c r="G32" s="370" t="s">
        <v>968</v>
      </c>
      <c r="H32" s="370" t="s">
        <v>968</v>
      </c>
      <c r="I32" s="370" t="s">
        <v>968</v>
      </c>
      <c r="J32" s="370" t="s">
        <v>937</v>
      </c>
      <c r="K32" s="370" t="s">
        <v>937</v>
      </c>
    </row>
    <row r="33" spans="1:11">
      <c r="A33" s="8">
        <v>2.2999999999999998</v>
      </c>
      <c r="B33" s="19" t="s">
        <v>43</v>
      </c>
      <c r="C33" s="10"/>
      <c r="D33" s="370" t="s">
        <v>208</v>
      </c>
      <c r="E33" s="370" t="s">
        <v>208</v>
      </c>
      <c r="F33" s="370" t="s">
        <v>985</v>
      </c>
      <c r="G33" s="370" t="s">
        <v>979</v>
      </c>
      <c r="H33" s="370" t="s">
        <v>969</v>
      </c>
      <c r="I33" s="370" t="s">
        <v>969</v>
      </c>
      <c r="J33" s="370" t="s">
        <v>938</v>
      </c>
      <c r="K33" s="370" t="s">
        <v>938</v>
      </c>
    </row>
    <row r="34" spans="1:11">
      <c r="A34" s="8">
        <v>2.4</v>
      </c>
      <c r="B34" s="19" t="s">
        <v>44</v>
      </c>
      <c r="C34" s="10"/>
      <c r="D34" s="370" t="s">
        <v>208</v>
      </c>
      <c r="E34" s="370" t="s">
        <v>208</v>
      </c>
      <c r="F34" s="370" t="s">
        <v>980</v>
      </c>
      <c r="G34" s="370" t="s">
        <v>980</v>
      </c>
      <c r="H34" s="370" t="s">
        <v>970</v>
      </c>
      <c r="I34" s="370" t="s">
        <v>970</v>
      </c>
      <c r="J34" s="370" t="s">
        <v>939</v>
      </c>
      <c r="K34" s="370" t="s">
        <v>939</v>
      </c>
    </row>
    <row r="35" spans="1:11">
      <c r="A35" s="8">
        <v>2.5</v>
      </c>
      <c r="B35" s="19" t="s">
        <v>45</v>
      </c>
      <c r="C35" s="10"/>
      <c r="D35" s="370" t="s">
        <v>208</v>
      </c>
      <c r="E35" s="370" t="s">
        <v>208</v>
      </c>
      <c r="F35" s="370" t="s">
        <v>986</v>
      </c>
      <c r="G35" s="370" t="s">
        <v>971</v>
      </c>
      <c r="H35" s="370" t="s">
        <v>971</v>
      </c>
      <c r="I35" s="370" t="s">
        <v>971</v>
      </c>
      <c r="J35" s="370" t="s">
        <v>940</v>
      </c>
      <c r="K35" s="370" t="s">
        <v>940</v>
      </c>
    </row>
    <row r="36" spans="1:11">
      <c r="A36" s="8">
        <v>2.6</v>
      </c>
      <c r="B36" s="19" t="s">
        <v>46</v>
      </c>
      <c r="C36" s="10"/>
      <c r="D36" s="370" t="s">
        <v>208</v>
      </c>
      <c r="E36" s="370" t="s">
        <v>208</v>
      </c>
      <c r="F36" s="370" t="s">
        <v>943</v>
      </c>
      <c r="G36" s="370" t="s">
        <v>941</v>
      </c>
      <c r="H36" s="370" t="s">
        <v>941</v>
      </c>
      <c r="I36" s="370" t="s">
        <v>941</v>
      </c>
      <c r="J36" s="370" t="s">
        <v>941</v>
      </c>
      <c r="K36" s="370" t="s">
        <v>941</v>
      </c>
    </row>
    <row r="37" spans="1:11">
      <c r="A37" s="8">
        <v>2.7</v>
      </c>
      <c r="B37" s="19" t="s">
        <v>47</v>
      </c>
      <c r="C37" s="10"/>
      <c r="D37" s="370" t="s">
        <v>208</v>
      </c>
      <c r="E37" s="370" t="s">
        <v>208</v>
      </c>
      <c r="F37" s="370" t="s">
        <v>987</v>
      </c>
      <c r="G37" s="370" t="s">
        <v>981</v>
      </c>
      <c r="H37" s="370" t="s">
        <v>972</v>
      </c>
      <c r="I37" s="370" t="s">
        <v>972</v>
      </c>
      <c r="J37" s="370" t="s">
        <v>942</v>
      </c>
      <c r="K37" s="370" t="s">
        <v>995</v>
      </c>
    </row>
    <row r="38" spans="1:11">
      <c r="A38" s="8">
        <v>2.8</v>
      </c>
      <c r="B38" s="19" t="s">
        <v>48</v>
      </c>
      <c r="C38" s="10"/>
      <c r="D38" s="370" t="s">
        <v>208</v>
      </c>
      <c r="E38" s="370" t="s">
        <v>208</v>
      </c>
      <c r="F38" s="370" t="s">
        <v>943</v>
      </c>
      <c r="G38" s="370" t="s">
        <v>943</v>
      </c>
      <c r="H38" s="370" t="s">
        <v>973</v>
      </c>
      <c r="I38" s="370" t="s">
        <v>973</v>
      </c>
      <c r="J38" s="370" t="s">
        <v>943</v>
      </c>
      <c r="K38" s="370" t="s">
        <v>943</v>
      </c>
    </row>
    <row r="39" spans="1:11">
      <c r="A39" s="8">
        <v>2.9</v>
      </c>
      <c r="B39" s="19" t="s">
        <v>49</v>
      </c>
      <c r="C39" s="10"/>
      <c r="D39" s="370" t="s">
        <v>208</v>
      </c>
      <c r="E39" s="370" t="s">
        <v>208</v>
      </c>
      <c r="F39" s="370" t="s">
        <v>982</v>
      </c>
      <c r="G39" s="370" t="s">
        <v>982</v>
      </c>
      <c r="H39" s="370" t="s">
        <v>974</v>
      </c>
      <c r="I39" s="370" t="s">
        <v>974</v>
      </c>
      <c r="J39" s="370" t="s">
        <v>944</v>
      </c>
      <c r="K39" s="370" t="s">
        <v>944</v>
      </c>
    </row>
    <row r="40" spans="1:11">
      <c r="A40" s="271">
        <v>2.1</v>
      </c>
      <c r="B40" s="19" t="s">
        <v>50</v>
      </c>
      <c r="C40" s="10"/>
      <c r="D40" s="370" t="s">
        <v>208</v>
      </c>
      <c r="E40" s="370" t="s">
        <v>208</v>
      </c>
      <c r="F40" s="370" t="s">
        <v>208</v>
      </c>
      <c r="G40" s="370" t="s">
        <v>208</v>
      </c>
      <c r="H40" s="370" t="s">
        <v>208</v>
      </c>
      <c r="I40" s="370" t="s">
        <v>208</v>
      </c>
      <c r="J40" s="370" t="s">
        <v>208</v>
      </c>
      <c r="K40" s="370" t="s">
        <v>208</v>
      </c>
    </row>
    <row r="41" spans="1:11">
      <c r="A41" s="8">
        <v>2.11</v>
      </c>
      <c r="B41" s="19" t="s">
        <v>51</v>
      </c>
      <c r="C41" s="10"/>
      <c r="D41" s="370" t="s">
        <v>208</v>
      </c>
      <c r="E41" s="370" t="s">
        <v>208</v>
      </c>
      <c r="F41" s="370" t="s">
        <v>988</v>
      </c>
      <c r="G41" s="370" t="s">
        <v>208</v>
      </c>
      <c r="H41" s="370" t="s">
        <v>969</v>
      </c>
      <c r="I41" s="370" t="s">
        <v>969</v>
      </c>
      <c r="J41" s="370" t="s">
        <v>945</v>
      </c>
      <c r="K41" s="370" t="s">
        <v>945</v>
      </c>
    </row>
    <row r="42" spans="1:11">
      <c r="A42" s="271">
        <v>2.12</v>
      </c>
      <c r="B42" s="19" t="s">
        <v>52</v>
      </c>
      <c r="C42" s="10"/>
      <c r="D42" s="370" t="s">
        <v>208</v>
      </c>
      <c r="E42" s="370" t="s">
        <v>208</v>
      </c>
      <c r="F42" s="370" t="s">
        <v>989</v>
      </c>
      <c r="G42" s="370" t="s">
        <v>208</v>
      </c>
      <c r="H42" s="370" t="s">
        <v>970</v>
      </c>
      <c r="I42" s="370" t="s">
        <v>970</v>
      </c>
      <c r="J42" s="370" t="s">
        <v>946</v>
      </c>
      <c r="K42" s="370" t="s">
        <v>946</v>
      </c>
    </row>
    <row r="43" spans="1:11">
      <c r="A43" s="8">
        <v>2.13</v>
      </c>
      <c r="B43" s="19" t="s">
        <v>45</v>
      </c>
      <c r="C43" s="10"/>
      <c r="D43" s="370" t="s">
        <v>208</v>
      </c>
      <c r="E43" s="370" t="s">
        <v>208</v>
      </c>
      <c r="F43" s="370" t="s">
        <v>986</v>
      </c>
      <c r="G43" s="370" t="s">
        <v>208</v>
      </c>
      <c r="H43" s="370" t="s">
        <v>971</v>
      </c>
      <c r="I43" s="370" t="s">
        <v>971</v>
      </c>
      <c r="J43" s="370" t="s">
        <v>940</v>
      </c>
      <c r="K43" s="370" t="s">
        <v>940</v>
      </c>
    </row>
    <row r="44" spans="1:11">
      <c r="A44" s="271">
        <v>2.14</v>
      </c>
      <c r="B44" s="19" t="s">
        <v>46</v>
      </c>
      <c r="C44" s="10"/>
      <c r="D44" s="370" t="s">
        <v>208</v>
      </c>
      <c r="E44" s="370" t="s">
        <v>208</v>
      </c>
      <c r="F44" s="370" t="s">
        <v>943</v>
      </c>
      <c r="G44" s="370" t="s">
        <v>943</v>
      </c>
      <c r="H44" s="370" t="s">
        <v>975</v>
      </c>
      <c r="I44" s="370" t="s">
        <v>975</v>
      </c>
      <c r="J44" s="370" t="s">
        <v>941</v>
      </c>
      <c r="K44" s="370" t="s">
        <v>941</v>
      </c>
    </row>
    <row r="45" spans="1:11">
      <c r="A45" s="8">
        <v>2.15</v>
      </c>
      <c r="B45" s="19" t="s">
        <v>47</v>
      </c>
      <c r="C45" s="10"/>
      <c r="D45" s="370" t="s">
        <v>208</v>
      </c>
      <c r="E45" s="370" t="s">
        <v>208</v>
      </c>
      <c r="F45" s="370" t="s">
        <v>987</v>
      </c>
      <c r="G45" s="370" t="s">
        <v>983</v>
      </c>
      <c r="H45" s="370" t="s">
        <v>947</v>
      </c>
      <c r="I45" s="370" t="s">
        <v>947</v>
      </c>
      <c r="J45" s="370" t="s">
        <v>947</v>
      </c>
      <c r="K45" s="370" t="s">
        <v>947</v>
      </c>
    </row>
    <row r="46" spans="1:11">
      <c r="A46" s="271">
        <v>2.16</v>
      </c>
      <c r="B46" s="19" t="s">
        <v>48</v>
      </c>
      <c r="C46" s="10"/>
      <c r="D46" s="370" t="s">
        <v>208</v>
      </c>
      <c r="E46" s="370" t="s">
        <v>208</v>
      </c>
      <c r="F46" s="370" t="s">
        <v>943</v>
      </c>
      <c r="G46" s="370" t="s">
        <v>943</v>
      </c>
      <c r="H46" s="370" t="s">
        <v>973</v>
      </c>
      <c r="I46" s="370" t="s">
        <v>973</v>
      </c>
      <c r="J46" s="370" t="s">
        <v>943</v>
      </c>
      <c r="K46" s="370" t="s">
        <v>943</v>
      </c>
    </row>
    <row r="47" spans="1:11">
      <c r="A47" s="8">
        <v>2.17</v>
      </c>
      <c r="B47" s="19" t="s">
        <v>49</v>
      </c>
      <c r="C47" s="10"/>
      <c r="D47" s="370" t="s">
        <v>208</v>
      </c>
      <c r="E47" s="370" t="s">
        <v>208</v>
      </c>
      <c r="F47" s="370" t="s">
        <v>982</v>
      </c>
      <c r="G47" s="370" t="s">
        <v>982</v>
      </c>
      <c r="H47" s="370" t="s">
        <v>974</v>
      </c>
      <c r="I47" s="370" t="s">
        <v>974</v>
      </c>
      <c r="J47" s="370" t="s">
        <v>944</v>
      </c>
      <c r="K47" s="370" t="s">
        <v>944</v>
      </c>
    </row>
    <row r="48" spans="1:11">
      <c r="A48" s="271">
        <v>2.1800000000000002</v>
      </c>
      <c r="B48" s="19" t="s">
        <v>50</v>
      </c>
      <c r="C48" s="10"/>
      <c r="D48" s="370" t="s">
        <v>208</v>
      </c>
      <c r="E48" s="370" t="s">
        <v>208</v>
      </c>
      <c r="F48" s="370" t="s">
        <v>208</v>
      </c>
      <c r="G48" s="370" t="s">
        <v>208</v>
      </c>
      <c r="H48" s="370" t="s">
        <v>208</v>
      </c>
      <c r="I48" s="370" t="s">
        <v>208</v>
      </c>
      <c r="J48" s="370" t="s">
        <v>208</v>
      </c>
      <c r="K48" s="370" t="s">
        <v>208</v>
      </c>
    </row>
    <row r="49" spans="1:11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</row>
    <row r="50" spans="1:11">
      <c r="A50" s="20"/>
      <c r="B50" s="21"/>
      <c r="C50" s="23"/>
      <c r="D50" s="23"/>
      <c r="E50" s="23"/>
      <c r="F50" s="23"/>
      <c r="G50" s="23"/>
      <c r="H50" s="23"/>
      <c r="I50" s="23"/>
      <c r="J50" s="23"/>
      <c r="K50" s="23"/>
    </row>
    <row r="51" spans="1:11">
      <c r="A51" s="20"/>
      <c r="B51" s="21"/>
      <c r="C51" s="23"/>
      <c r="D51" s="23"/>
      <c r="E51" s="23"/>
      <c r="F51" s="23"/>
      <c r="G51" s="23"/>
      <c r="H51" s="23"/>
      <c r="I51" s="23"/>
      <c r="J51" s="23"/>
      <c r="K51" s="23"/>
    </row>
    <row r="52" spans="1:11">
      <c r="A52" s="20"/>
      <c r="B52" s="21"/>
      <c r="C52" s="23"/>
      <c r="D52" s="23"/>
      <c r="E52" s="23"/>
      <c r="F52" s="23"/>
      <c r="G52" s="23"/>
      <c r="H52" s="23"/>
      <c r="I52" s="23"/>
      <c r="J52" s="23"/>
      <c r="K52" s="23"/>
    </row>
    <row r="53" spans="1:11">
      <c r="A53" s="20"/>
      <c r="B53" s="21"/>
      <c r="C53" s="23"/>
      <c r="D53" s="23"/>
      <c r="E53" s="23"/>
      <c r="F53" s="23"/>
      <c r="G53" s="23"/>
      <c r="H53" s="23"/>
      <c r="I53" s="23"/>
      <c r="J53" s="23"/>
      <c r="K53" s="23"/>
    </row>
    <row r="54" spans="1:11">
      <c r="A54" s="20"/>
      <c r="B54" s="21"/>
      <c r="C54" s="23"/>
      <c r="D54" s="23"/>
      <c r="E54" s="23"/>
      <c r="F54" s="23"/>
      <c r="G54" s="23"/>
      <c r="H54" s="23"/>
      <c r="I54" s="23"/>
      <c r="J54" s="23"/>
      <c r="K54" s="23"/>
    </row>
    <row r="55" spans="1:11">
      <c r="A55" s="20"/>
      <c r="B55" s="21"/>
      <c r="C55" s="23"/>
      <c r="D55" s="23"/>
      <c r="E55" s="23"/>
      <c r="F55" s="23"/>
      <c r="G55" s="23"/>
      <c r="H55" s="23"/>
      <c r="I55" s="23"/>
      <c r="J55" s="23"/>
      <c r="K55" s="23"/>
    </row>
    <row r="56" spans="1:11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>
      <c r="A57" s="17">
        <v>3</v>
      </c>
      <c r="B57" s="6" t="s">
        <v>53</v>
      </c>
      <c r="C57" s="7"/>
      <c r="D57" s="7"/>
      <c r="E57" s="18"/>
      <c r="F57" s="18"/>
      <c r="G57" s="18"/>
      <c r="H57" s="18"/>
      <c r="I57" s="18"/>
      <c r="J57" s="18"/>
      <c r="K57" s="18"/>
    </row>
    <row r="58" spans="1:11">
      <c r="A58" s="8">
        <v>3.1</v>
      </c>
      <c r="B58" s="19" t="s">
        <v>54</v>
      </c>
      <c r="C58" s="10"/>
      <c r="D58" s="370" t="s">
        <v>208</v>
      </c>
      <c r="E58" s="370" t="s">
        <v>208</v>
      </c>
      <c r="F58" s="370" t="s">
        <v>936</v>
      </c>
      <c r="G58" s="370" t="s">
        <v>936</v>
      </c>
      <c r="H58" s="370" t="s">
        <v>936</v>
      </c>
      <c r="I58" s="370" t="s">
        <v>936</v>
      </c>
      <c r="J58" s="370" t="s">
        <v>936</v>
      </c>
      <c r="K58" s="370" t="s">
        <v>936</v>
      </c>
    </row>
    <row r="59" spans="1:11">
      <c r="A59" s="8">
        <v>3.2</v>
      </c>
      <c r="B59" s="19" t="s">
        <v>42</v>
      </c>
      <c r="C59" s="10"/>
      <c r="D59" s="370" t="s">
        <v>208</v>
      </c>
      <c r="E59" s="370" t="s">
        <v>208</v>
      </c>
      <c r="F59" s="370" t="s">
        <v>990</v>
      </c>
      <c r="G59" s="370" t="s">
        <v>208</v>
      </c>
      <c r="H59" s="370" t="s">
        <v>208</v>
      </c>
      <c r="I59" s="370" t="s">
        <v>208</v>
      </c>
      <c r="J59" s="370" t="s">
        <v>948</v>
      </c>
      <c r="K59" s="370" t="s">
        <v>948</v>
      </c>
    </row>
    <row r="60" spans="1:11">
      <c r="A60" s="8">
        <v>3.3</v>
      </c>
      <c r="B60" s="19" t="s">
        <v>43</v>
      </c>
      <c r="C60" s="10"/>
      <c r="D60" s="370" t="s">
        <v>208</v>
      </c>
      <c r="E60" s="370" t="s">
        <v>208</v>
      </c>
      <c r="F60" s="370" t="s">
        <v>991</v>
      </c>
      <c r="G60" s="370" t="s">
        <v>208</v>
      </c>
      <c r="H60" s="370" t="s">
        <v>208</v>
      </c>
      <c r="I60" s="370" t="s">
        <v>208</v>
      </c>
      <c r="J60" s="370" t="s">
        <v>949</v>
      </c>
      <c r="K60" s="370" t="s">
        <v>949</v>
      </c>
    </row>
    <row r="61" spans="1:11">
      <c r="A61" s="8">
        <v>3.4</v>
      </c>
      <c r="B61" s="19" t="s">
        <v>44</v>
      </c>
      <c r="C61" s="10"/>
      <c r="D61" s="370" t="s">
        <v>208</v>
      </c>
      <c r="E61" s="370" t="s">
        <v>208</v>
      </c>
      <c r="F61" s="370" t="s">
        <v>992</v>
      </c>
      <c r="G61" s="370" t="s">
        <v>208</v>
      </c>
      <c r="H61" s="370" t="s">
        <v>208</v>
      </c>
      <c r="I61" s="370" t="s">
        <v>208</v>
      </c>
      <c r="J61" s="370" t="s">
        <v>950</v>
      </c>
      <c r="K61" s="370" t="s">
        <v>950</v>
      </c>
    </row>
    <row r="62" spans="1:11">
      <c r="A62" s="8">
        <v>3.5</v>
      </c>
      <c r="B62" s="19" t="s">
        <v>45</v>
      </c>
      <c r="C62" s="10"/>
      <c r="D62" s="370" t="s">
        <v>208</v>
      </c>
      <c r="E62" s="370" t="s">
        <v>208</v>
      </c>
      <c r="F62" s="370" t="s">
        <v>986</v>
      </c>
      <c r="G62" s="370" t="s">
        <v>208</v>
      </c>
      <c r="H62" s="370" t="s">
        <v>208</v>
      </c>
      <c r="I62" s="370" t="s">
        <v>208</v>
      </c>
      <c r="J62" s="370" t="s">
        <v>951</v>
      </c>
      <c r="K62" s="370" t="s">
        <v>951</v>
      </c>
    </row>
    <row r="63" spans="1:11">
      <c r="A63" s="8">
        <v>3.6</v>
      </c>
      <c r="B63" s="19" t="s">
        <v>46</v>
      </c>
      <c r="C63" s="10"/>
      <c r="D63" s="370" t="s">
        <v>208</v>
      </c>
      <c r="E63" s="370" t="s">
        <v>208</v>
      </c>
      <c r="F63" s="370" t="s">
        <v>943</v>
      </c>
      <c r="G63" s="370" t="s">
        <v>943</v>
      </c>
      <c r="H63" s="370" t="s">
        <v>976</v>
      </c>
      <c r="I63" s="370" t="s">
        <v>976</v>
      </c>
      <c r="J63" s="370" t="s">
        <v>943</v>
      </c>
      <c r="K63" s="370" t="s">
        <v>943</v>
      </c>
    </row>
    <row r="64" spans="1:11">
      <c r="A64" s="8">
        <v>3.7</v>
      </c>
      <c r="B64" s="19" t="s">
        <v>47</v>
      </c>
      <c r="C64" s="10"/>
      <c r="D64" s="370" t="s">
        <v>208</v>
      </c>
      <c r="E64" s="370" t="s">
        <v>208</v>
      </c>
      <c r="F64" s="370" t="s">
        <v>952</v>
      </c>
      <c r="G64" s="370" t="s">
        <v>952</v>
      </c>
      <c r="H64" s="370" t="s">
        <v>952</v>
      </c>
      <c r="I64" s="370" t="s">
        <v>952</v>
      </c>
      <c r="J64" s="370" t="s">
        <v>952</v>
      </c>
      <c r="K64" s="370" t="s">
        <v>952</v>
      </c>
    </row>
    <row r="65" spans="1:11">
      <c r="A65" s="8">
        <v>3.8</v>
      </c>
      <c r="B65" s="19" t="s">
        <v>48</v>
      </c>
      <c r="C65" s="10"/>
      <c r="D65" s="370" t="s">
        <v>208</v>
      </c>
      <c r="E65" s="370" t="s">
        <v>208</v>
      </c>
      <c r="F65" s="370" t="s">
        <v>943</v>
      </c>
      <c r="G65" s="370" t="s">
        <v>943</v>
      </c>
      <c r="H65" s="370" t="s">
        <v>976</v>
      </c>
      <c r="I65" s="370" t="s">
        <v>976</v>
      </c>
      <c r="J65" s="370" t="s">
        <v>943</v>
      </c>
      <c r="K65" s="370" t="s">
        <v>943</v>
      </c>
    </row>
    <row r="66" spans="1:11">
      <c r="A66" s="8">
        <v>3.9</v>
      </c>
      <c r="B66" s="19" t="s">
        <v>55</v>
      </c>
      <c r="C66" s="10"/>
      <c r="D66" s="370" t="s">
        <v>208</v>
      </c>
      <c r="E66" s="370" t="s">
        <v>208</v>
      </c>
      <c r="F66" s="370" t="s">
        <v>982</v>
      </c>
      <c r="G66" s="370" t="s">
        <v>984</v>
      </c>
      <c r="H66" s="370" t="s">
        <v>974</v>
      </c>
      <c r="I66" s="370" t="s">
        <v>974</v>
      </c>
      <c r="J66" s="370" t="s">
        <v>944</v>
      </c>
      <c r="K66" s="370" t="s">
        <v>944</v>
      </c>
    </row>
    <row r="67" spans="1:11">
      <c r="A67" s="271">
        <v>3.1</v>
      </c>
      <c r="B67" s="19" t="s">
        <v>50</v>
      </c>
      <c r="C67" s="10"/>
      <c r="D67" s="370" t="s">
        <v>208</v>
      </c>
      <c r="E67" s="370" t="s">
        <v>208</v>
      </c>
      <c r="F67" s="370" t="s">
        <v>208</v>
      </c>
      <c r="G67" s="370" t="s">
        <v>208</v>
      </c>
      <c r="H67" s="370" t="s">
        <v>208</v>
      </c>
      <c r="I67" s="370" t="s">
        <v>208</v>
      </c>
      <c r="J67" s="370" t="s">
        <v>208</v>
      </c>
      <c r="K67" s="370" t="s">
        <v>208</v>
      </c>
    </row>
    <row r="68" spans="1:11">
      <c r="A68" s="8">
        <v>3.11</v>
      </c>
      <c r="B68" s="19" t="s">
        <v>51</v>
      </c>
      <c r="C68" s="10"/>
      <c r="D68" s="370" t="s">
        <v>208</v>
      </c>
      <c r="E68" s="370" t="s">
        <v>208</v>
      </c>
      <c r="F68" s="370" t="s">
        <v>993</v>
      </c>
      <c r="G68" s="370" t="s">
        <v>208</v>
      </c>
      <c r="H68" s="370" t="s">
        <v>208</v>
      </c>
      <c r="I68" s="370" t="s">
        <v>208</v>
      </c>
      <c r="J68" s="370" t="s">
        <v>953</v>
      </c>
      <c r="K68" s="370" t="s">
        <v>953</v>
      </c>
    </row>
    <row r="69" spans="1:11">
      <c r="A69" s="271">
        <v>3.12</v>
      </c>
      <c r="B69" s="19" t="s">
        <v>52</v>
      </c>
      <c r="C69" s="10"/>
      <c r="D69" s="370" t="s">
        <v>208</v>
      </c>
      <c r="E69" s="370" t="s">
        <v>208</v>
      </c>
      <c r="F69" s="370" t="s">
        <v>994</v>
      </c>
      <c r="G69" s="370" t="s">
        <v>208</v>
      </c>
      <c r="H69" s="370" t="s">
        <v>208</v>
      </c>
      <c r="I69" s="370" t="s">
        <v>208</v>
      </c>
      <c r="J69" s="370" t="s">
        <v>954</v>
      </c>
      <c r="K69" s="370" t="s">
        <v>954</v>
      </c>
    </row>
    <row r="70" spans="1:11">
      <c r="A70" s="8">
        <v>3.13</v>
      </c>
      <c r="B70" s="19" t="s">
        <v>45</v>
      </c>
      <c r="C70" s="10"/>
      <c r="D70" s="370" t="s">
        <v>208</v>
      </c>
      <c r="E70" s="370" t="s">
        <v>208</v>
      </c>
      <c r="F70" s="370" t="s">
        <v>986</v>
      </c>
      <c r="G70" s="370" t="s">
        <v>208</v>
      </c>
      <c r="H70" s="370" t="s">
        <v>208</v>
      </c>
      <c r="I70" s="370" t="s">
        <v>208</v>
      </c>
      <c r="J70" s="370" t="s">
        <v>951</v>
      </c>
      <c r="K70" s="370" t="s">
        <v>951</v>
      </c>
    </row>
    <row r="71" spans="1:11">
      <c r="A71" s="271">
        <v>3.14</v>
      </c>
      <c r="B71" s="19" t="s">
        <v>46</v>
      </c>
      <c r="C71" s="10"/>
      <c r="D71" s="370" t="s">
        <v>208</v>
      </c>
      <c r="E71" s="370" t="s">
        <v>208</v>
      </c>
      <c r="F71" s="370" t="s">
        <v>943</v>
      </c>
      <c r="G71" s="370" t="s">
        <v>943</v>
      </c>
      <c r="H71" s="370" t="s">
        <v>943</v>
      </c>
      <c r="I71" s="370" t="s">
        <v>943</v>
      </c>
      <c r="J71" s="370" t="s">
        <v>943</v>
      </c>
      <c r="K71" s="370" t="s">
        <v>943</v>
      </c>
    </row>
    <row r="72" spans="1:11">
      <c r="A72" s="8">
        <v>3.15</v>
      </c>
      <c r="B72" s="19" t="s">
        <v>47</v>
      </c>
      <c r="C72" s="10"/>
      <c r="D72" s="370" t="s">
        <v>208</v>
      </c>
      <c r="E72" s="370" t="s">
        <v>208</v>
      </c>
      <c r="F72" s="370" t="s">
        <v>987</v>
      </c>
      <c r="G72" s="370" t="s">
        <v>955</v>
      </c>
      <c r="H72" s="370" t="s">
        <v>977</v>
      </c>
      <c r="I72" s="370" t="s">
        <v>977</v>
      </c>
      <c r="J72" s="370" t="s">
        <v>955</v>
      </c>
      <c r="K72" s="370" t="s">
        <v>955</v>
      </c>
    </row>
    <row r="73" spans="1:11">
      <c r="A73" s="271">
        <v>3.16</v>
      </c>
      <c r="B73" s="19" t="s">
        <v>48</v>
      </c>
      <c r="C73" s="10"/>
      <c r="D73" s="370" t="s">
        <v>208</v>
      </c>
      <c r="E73" s="370" t="s">
        <v>208</v>
      </c>
      <c r="F73" s="370" t="s">
        <v>943</v>
      </c>
      <c r="G73" s="370" t="s">
        <v>943</v>
      </c>
      <c r="H73" s="370" t="s">
        <v>973</v>
      </c>
      <c r="I73" s="370" t="s">
        <v>973</v>
      </c>
      <c r="J73" s="370" t="s">
        <v>943</v>
      </c>
      <c r="K73" s="370" t="s">
        <v>943</v>
      </c>
    </row>
    <row r="74" spans="1:11">
      <c r="A74" s="8">
        <v>3.17</v>
      </c>
      <c r="B74" s="19" t="s">
        <v>56</v>
      </c>
      <c r="C74" s="10"/>
      <c r="D74" s="370" t="s">
        <v>208</v>
      </c>
      <c r="E74" s="370" t="s">
        <v>208</v>
      </c>
      <c r="F74" s="370" t="s">
        <v>982</v>
      </c>
      <c r="G74" s="370" t="s">
        <v>984</v>
      </c>
      <c r="H74" s="370" t="s">
        <v>974</v>
      </c>
      <c r="I74" s="370" t="s">
        <v>974</v>
      </c>
      <c r="J74" s="370" t="s">
        <v>944</v>
      </c>
      <c r="K74" s="370" t="s">
        <v>944</v>
      </c>
    </row>
    <row r="75" spans="1:11">
      <c r="A75" s="271">
        <v>3.18</v>
      </c>
      <c r="B75" s="19" t="s">
        <v>50</v>
      </c>
      <c r="C75" s="10"/>
      <c r="D75" s="370" t="s">
        <v>208</v>
      </c>
      <c r="E75" s="370" t="s">
        <v>208</v>
      </c>
      <c r="F75" s="370" t="s">
        <v>208</v>
      </c>
      <c r="G75" s="370" t="s">
        <v>208</v>
      </c>
      <c r="H75" s="370" t="s">
        <v>208</v>
      </c>
      <c r="I75" s="370" t="s">
        <v>208</v>
      </c>
      <c r="J75" s="370" t="s">
        <v>208</v>
      </c>
      <c r="K75" s="370" t="s">
        <v>208</v>
      </c>
    </row>
    <row r="76" spans="1:11">
      <c r="A76" s="425"/>
      <c r="B76" s="425"/>
      <c r="C76" s="425"/>
      <c r="D76" s="425"/>
      <c r="E76" s="425"/>
      <c r="F76" s="16"/>
      <c r="G76" s="16"/>
      <c r="H76" s="16"/>
      <c r="I76" s="16"/>
      <c r="J76" s="16"/>
      <c r="K76" s="16"/>
    </row>
    <row r="77" spans="1:11">
      <c r="A77" s="17">
        <v>4</v>
      </c>
      <c r="B77" s="6" t="s">
        <v>57</v>
      </c>
      <c r="C77" s="7"/>
      <c r="D77" s="7"/>
      <c r="E77" s="18"/>
      <c r="F77" s="18"/>
      <c r="G77" s="18"/>
      <c r="H77" s="18"/>
      <c r="I77" s="18"/>
      <c r="J77" s="18"/>
      <c r="K77" s="18"/>
    </row>
    <row r="78" spans="1:11">
      <c r="A78" s="8">
        <v>4.0999999999999996</v>
      </c>
      <c r="B78" s="19" t="s">
        <v>58</v>
      </c>
      <c r="C78" s="10"/>
      <c r="D78" s="26"/>
      <c r="E78" s="370" t="s">
        <v>208</v>
      </c>
      <c r="F78" s="27"/>
      <c r="G78" s="27"/>
      <c r="H78" s="27"/>
      <c r="I78" s="27"/>
      <c r="J78" s="27"/>
      <c r="K78" s="370" t="s">
        <v>936</v>
      </c>
    </row>
    <row r="79" spans="1:11">
      <c r="A79" s="8">
        <v>4.2</v>
      </c>
      <c r="B79" s="19" t="s">
        <v>59</v>
      </c>
      <c r="C79" s="10"/>
      <c r="D79" s="26"/>
      <c r="E79" s="370" t="s">
        <v>208</v>
      </c>
      <c r="F79" s="27"/>
      <c r="G79" s="27"/>
      <c r="H79" s="27"/>
      <c r="I79" s="27"/>
      <c r="J79" s="27"/>
      <c r="K79" s="370" t="s">
        <v>948</v>
      </c>
    </row>
    <row r="80" spans="1:11">
      <c r="A80" s="8">
        <v>4.3</v>
      </c>
      <c r="B80" s="19" t="s">
        <v>60</v>
      </c>
      <c r="C80" s="10"/>
      <c r="D80" s="26"/>
      <c r="E80" s="370" t="s">
        <v>208</v>
      </c>
      <c r="F80" s="27"/>
      <c r="G80" s="27"/>
      <c r="H80" s="27"/>
      <c r="I80" s="27"/>
      <c r="J80" s="27"/>
      <c r="K80" s="370" t="s">
        <v>949</v>
      </c>
    </row>
    <row r="81" spans="1:11">
      <c r="A81" s="8">
        <v>4.4000000000000004</v>
      </c>
      <c r="B81" s="19" t="s">
        <v>61</v>
      </c>
      <c r="C81" s="10"/>
      <c r="D81" s="26"/>
      <c r="E81" s="370" t="s">
        <v>208</v>
      </c>
      <c r="F81" s="27"/>
      <c r="G81" s="27"/>
      <c r="H81" s="27"/>
      <c r="I81" s="27"/>
      <c r="J81" s="27"/>
      <c r="K81" s="370" t="s">
        <v>950</v>
      </c>
    </row>
    <row r="82" spans="1:11">
      <c r="A82" s="8">
        <v>4.5</v>
      </c>
      <c r="B82" s="19" t="s">
        <v>45</v>
      </c>
      <c r="C82" s="10"/>
      <c r="D82" s="26"/>
      <c r="E82" s="370" t="s">
        <v>208</v>
      </c>
      <c r="F82" s="27"/>
      <c r="G82" s="27"/>
      <c r="H82" s="27"/>
      <c r="I82" s="27"/>
      <c r="J82" s="27"/>
      <c r="K82" s="370" t="s">
        <v>951</v>
      </c>
    </row>
    <row r="83" spans="1:11">
      <c r="A83" s="8">
        <v>4.5999999999999996</v>
      </c>
      <c r="B83" s="19" t="s">
        <v>46</v>
      </c>
      <c r="C83" s="10"/>
      <c r="D83" s="26"/>
      <c r="E83" s="370" t="s">
        <v>208</v>
      </c>
      <c r="F83" s="27"/>
      <c r="G83" s="27"/>
      <c r="H83" s="27"/>
      <c r="I83" s="27"/>
      <c r="J83" s="27"/>
      <c r="K83" s="370" t="s">
        <v>943</v>
      </c>
    </row>
    <row r="84" spans="1:11">
      <c r="A84" s="8">
        <v>4.7</v>
      </c>
      <c r="B84" s="19" t="s">
        <v>47</v>
      </c>
      <c r="C84" s="10"/>
      <c r="D84" s="26"/>
      <c r="E84" s="370" t="s">
        <v>208</v>
      </c>
      <c r="F84" s="27"/>
      <c r="G84" s="27"/>
      <c r="H84" s="27"/>
      <c r="I84" s="27"/>
      <c r="J84" s="27"/>
      <c r="K84" s="370" t="s">
        <v>952</v>
      </c>
    </row>
    <row r="85" spans="1:11">
      <c r="A85" s="8">
        <v>4.8</v>
      </c>
      <c r="B85" s="19" t="s">
        <v>48</v>
      </c>
      <c r="C85" s="10"/>
      <c r="D85" s="26"/>
      <c r="E85" s="370" t="s">
        <v>208</v>
      </c>
      <c r="F85" s="27"/>
      <c r="G85" s="27"/>
      <c r="H85" s="27"/>
      <c r="I85" s="27"/>
      <c r="J85" s="27"/>
      <c r="K85" s="370" t="s">
        <v>943</v>
      </c>
    </row>
    <row r="86" spans="1:11">
      <c r="A86" s="8">
        <v>4.9000000000000004</v>
      </c>
      <c r="B86" s="19" t="s">
        <v>56</v>
      </c>
      <c r="C86" s="10"/>
      <c r="D86" s="26"/>
      <c r="E86" s="370" t="s">
        <v>208</v>
      </c>
      <c r="F86" s="27"/>
      <c r="G86" s="27"/>
      <c r="H86" s="27"/>
      <c r="I86" s="27"/>
      <c r="J86" s="27"/>
      <c r="K86" s="370" t="s">
        <v>944</v>
      </c>
    </row>
    <row r="87" spans="1:11">
      <c r="A87" s="271">
        <v>4.0999999999999996</v>
      </c>
      <c r="B87" s="19" t="s">
        <v>50</v>
      </c>
      <c r="C87" s="10"/>
      <c r="D87" s="26"/>
      <c r="E87" s="370" t="s">
        <v>208</v>
      </c>
      <c r="F87" s="27"/>
      <c r="G87" s="27"/>
      <c r="H87" s="27"/>
      <c r="I87" s="27"/>
      <c r="J87" s="27"/>
      <c r="K87" s="370" t="s">
        <v>208</v>
      </c>
    </row>
    <row r="88" spans="1:11">
      <c r="A88" s="8">
        <v>4.1100000000000003</v>
      </c>
      <c r="B88" s="19" t="s">
        <v>51</v>
      </c>
      <c r="C88" s="10"/>
      <c r="D88" s="26"/>
      <c r="E88" s="370" t="s">
        <v>208</v>
      </c>
      <c r="F88" s="27"/>
      <c r="G88" s="27"/>
      <c r="H88" s="27"/>
      <c r="I88" s="27"/>
      <c r="J88" s="27"/>
      <c r="K88" s="370" t="s">
        <v>956</v>
      </c>
    </row>
    <row r="89" spans="1:11">
      <c r="A89" s="271">
        <v>4.12</v>
      </c>
      <c r="B89" s="19" t="s">
        <v>62</v>
      </c>
      <c r="C89" s="10"/>
      <c r="D89" s="26"/>
      <c r="E89" s="370" t="s">
        <v>208</v>
      </c>
      <c r="F89" s="27"/>
      <c r="G89" s="27"/>
      <c r="H89" s="27"/>
      <c r="I89" s="27"/>
      <c r="J89" s="27"/>
      <c r="K89" s="370" t="s">
        <v>957</v>
      </c>
    </row>
    <row r="90" spans="1:11">
      <c r="A90" s="271">
        <v>4.13</v>
      </c>
      <c r="B90" s="19" t="s">
        <v>45</v>
      </c>
      <c r="C90" s="10"/>
      <c r="D90" s="26"/>
      <c r="E90" s="370" t="s">
        <v>208</v>
      </c>
      <c r="F90" s="27"/>
      <c r="G90" s="27"/>
      <c r="H90" s="27"/>
      <c r="I90" s="27"/>
      <c r="J90" s="27"/>
      <c r="K90" s="370" t="s">
        <v>958</v>
      </c>
    </row>
    <row r="91" spans="1:11">
      <c r="A91" s="8">
        <v>4.1399999999999997</v>
      </c>
      <c r="B91" s="19" t="s">
        <v>46</v>
      </c>
      <c r="C91" s="10"/>
      <c r="D91" s="26"/>
      <c r="E91" s="370" t="s">
        <v>208</v>
      </c>
      <c r="F91" s="27"/>
      <c r="G91" s="27"/>
      <c r="H91" s="27"/>
      <c r="I91" s="27"/>
      <c r="J91" s="27"/>
      <c r="K91" s="370" t="s">
        <v>943</v>
      </c>
    </row>
    <row r="92" spans="1:11">
      <c r="A92" s="271">
        <v>4.1500000000000004</v>
      </c>
      <c r="B92" s="19" t="s">
        <v>47</v>
      </c>
      <c r="C92" s="10"/>
      <c r="D92" s="26"/>
      <c r="E92" s="370" t="s">
        <v>208</v>
      </c>
      <c r="F92" s="27"/>
      <c r="G92" s="27"/>
      <c r="H92" s="27"/>
      <c r="I92" s="27"/>
      <c r="J92" s="27"/>
      <c r="K92" s="370" t="s">
        <v>959</v>
      </c>
    </row>
    <row r="93" spans="1:11">
      <c r="A93" s="271">
        <v>4.16</v>
      </c>
      <c r="B93" s="19" t="s">
        <v>48</v>
      </c>
      <c r="C93" s="10"/>
      <c r="D93" s="26"/>
      <c r="E93" s="370" t="s">
        <v>208</v>
      </c>
      <c r="F93" s="27"/>
      <c r="G93" s="27"/>
      <c r="H93" s="27"/>
      <c r="I93" s="27"/>
      <c r="J93" s="27"/>
      <c r="K93" s="370" t="s">
        <v>943</v>
      </c>
    </row>
    <row r="94" spans="1:11">
      <c r="A94" s="8">
        <v>4.17</v>
      </c>
      <c r="B94" s="19" t="s">
        <v>56</v>
      </c>
      <c r="C94" s="10"/>
      <c r="D94" s="26"/>
      <c r="E94" s="370" t="s">
        <v>208</v>
      </c>
      <c r="F94" s="27"/>
      <c r="G94" s="27"/>
      <c r="H94" s="27"/>
      <c r="I94" s="27"/>
      <c r="J94" s="27"/>
      <c r="K94" s="370" t="s">
        <v>944</v>
      </c>
    </row>
    <row r="95" spans="1:11">
      <c r="A95" s="271">
        <v>4.1800000000000104</v>
      </c>
      <c r="B95" s="19" t="s">
        <v>50</v>
      </c>
      <c r="C95" s="10"/>
      <c r="D95" s="26"/>
      <c r="E95" s="370" t="s">
        <v>208</v>
      </c>
      <c r="F95" s="27"/>
      <c r="G95" s="27"/>
      <c r="H95" s="27"/>
      <c r="I95" s="27"/>
      <c r="J95" s="27"/>
      <c r="K95" s="370" t="s">
        <v>208</v>
      </c>
    </row>
    <row r="96" spans="1:11">
      <c r="A96" s="425"/>
      <c r="B96" s="425"/>
      <c r="C96" s="425"/>
      <c r="D96" s="425"/>
      <c r="E96" s="425"/>
      <c r="F96" s="16"/>
      <c r="G96" s="16"/>
      <c r="H96" s="16"/>
      <c r="I96" s="16"/>
      <c r="J96" s="16"/>
      <c r="K96" s="16"/>
    </row>
    <row r="97" spans="1:11">
      <c r="A97" s="17">
        <v>5</v>
      </c>
      <c r="B97" s="6" t="s">
        <v>63</v>
      </c>
      <c r="C97" s="7"/>
      <c r="D97" s="7"/>
      <c r="E97" s="18"/>
      <c r="F97" s="18"/>
      <c r="G97" s="18"/>
      <c r="H97" s="18"/>
      <c r="I97" s="18"/>
      <c r="J97" s="18"/>
      <c r="K97" s="18"/>
    </row>
    <row r="98" spans="1:11">
      <c r="A98" s="8">
        <v>5.0999999999999996</v>
      </c>
      <c r="B98" s="19" t="s">
        <v>58</v>
      </c>
      <c r="C98" s="10"/>
      <c r="D98" s="26"/>
      <c r="E98" s="370" t="s">
        <v>208</v>
      </c>
      <c r="F98" s="27"/>
      <c r="G98" s="27"/>
      <c r="H98" s="27"/>
      <c r="I98" s="27"/>
      <c r="J98" s="27"/>
      <c r="K98" s="370" t="s">
        <v>936</v>
      </c>
    </row>
    <row r="99" spans="1:11">
      <c r="A99" s="8">
        <v>5.2</v>
      </c>
      <c r="B99" s="19" t="s">
        <v>64</v>
      </c>
      <c r="C99" s="10"/>
      <c r="D99" s="26"/>
      <c r="E99" s="370" t="s">
        <v>208</v>
      </c>
      <c r="F99" s="27"/>
      <c r="G99" s="27"/>
      <c r="H99" s="27"/>
      <c r="I99" s="27"/>
      <c r="J99" s="27"/>
      <c r="K99" s="370" t="s">
        <v>996</v>
      </c>
    </row>
    <row r="100" spans="1:11">
      <c r="A100" s="8">
        <v>5.3</v>
      </c>
      <c r="B100" s="19" t="s">
        <v>65</v>
      </c>
      <c r="C100" s="10"/>
      <c r="D100" s="26"/>
      <c r="E100" s="370" t="s">
        <v>208</v>
      </c>
      <c r="F100" s="27"/>
      <c r="G100" s="27"/>
      <c r="H100" s="27"/>
      <c r="I100" s="27"/>
      <c r="J100" s="27"/>
      <c r="K100" s="370" t="s">
        <v>997</v>
      </c>
    </row>
    <row r="101" spans="1:11">
      <c r="A101" s="8">
        <v>5.4</v>
      </c>
      <c r="B101" s="19" t="s">
        <v>45</v>
      </c>
      <c r="C101" s="10"/>
      <c r="D101" s="26"/>
      <c r="E101" s="370" t="s">
        <v>208</v>
      </c>
      <c r="F101" s="27"/>
      <c r="G101" s="27"/>
      <c r="H101" s="27"/>
      <c r="I101" s="27"/>
      <c r="J101" s="27"/>
      <c r="K101" s="370" t="s">
        <v>998</v>
      </c>
    </row>
    <row r="102" spans="1:11">
      <c r="A102" s="8">
        <v>5.5</v>
      </c>
      <c r="B102" s="19" t="s">
        <v>46</v>
      </c>
      <c r="C102" s="10"/>
      <c r="D102" s="26"/>
      <c r="E102" s="370" t="s">
        <v>208</v>
      </c>
      <c r="F102" s="27"/>
      <c r="G102" s="27"/>
      <c r="H102" s="27"/>
      <c r="I102" s="27"/>
      <c r="J102" s="27"/>
      <c r="K102" s="370" t="s">
        <v>943</v>
      </c>
    </row>
    <row r="103" spans="1:11">
      <c r="A103" s="8">
        <v>5.6</v>
      </c>
      <c r="B103" s="19" t="s">
        <v>47</v>
      </c>
      <c r="C103" s="10"/>
      <c r="D103" s="26"/>
      <c r="E103" s="370" t="s">
        <v>208</v>
      </c>
      <c r="F103" s="27"/>
      <c r="G103" s="27"/>
      <c r="H103" s="27"/>
      <c r="I103" s="27"/>
      <c r="J103" s="27"/>
      <c r="K103" s="370" t="s">
        <v>960</v>
      </c>
    </row>
    <row r="104" spans="1:11">
      <c r="A104" s="8">
        <v>5.7</v>
      </c>
      <c r="B104" s="19" t="s">
        <v>48</v>
      </c>
      <c r="C104" s="10"/>
      <c r="D104" s="26"/>
      <c r="E104" s="370" t="s">
        <v>208</v>
      </c>
      <c r="F104" s="27"/>
      <c r="G104" s="27"/>
      <c r="H104" s="27"/>
      <c r="I104" s="27"/>
      <c r="J104" s="27"/>
      <c r="K104" s="370" t="s">
        <v>943</v>
      </c>
    </row>
    <row r="105" spans="1:11">
      <c r="A105" s="8">
        <v>5.8</v>
      </c>
      <c r="B105" s="19" t="s">
        <v>55</v>
      </c>
      <c r="C105" s="10"/>
      <c r="D105" s="26"/>
      <c r="E105" s="370" t="s">
        <v>208</v>
      </c>
      <c r="F105" s="27"/>
      <c r="G105" s="27"/>
      <c r="H105" s="27"/>
      <c r="I105" s="27"/>
      <c r="J105" s="27"/>
      <c r="K105" s="370" t="s">
        <v>999</v>
      </c>
    </row>
    <row r="106" spans="1:11">
      <c r="A106" s="8">
        <v>5.9</v>
      </c>
      <c r="B106" s="19" t="s">
        <v>50</v>
      </c>
      <c r="C106" s="10"/>
      <c r="D106" s="26"/>
      <c r="E106" s="370" t="s">
        <v>208</v>
      </c>
      <c r="F106" s="27"/>
      <c r="G106" s="27"/>
      <c r="H106" s="27"/>
      <c r="I106" s="27"/>
      <c r="J106" s="27"/>
      <c r="K106" s="370" t="s">
        <v>208</v>
      </c>
    </row>
    <row r="107" spans="1:11">
      <c r="A107" s="20"/>
      <c r="B107" s="23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0"/>
      <c r="B109" s="23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>
      <c r="A110" s="20"/>
      <c r="B110" s="23"/>
      <c r="C110" s="23"/>
      <c r="D110" s="23"/>
      <c r="E110" s="23"/>
      <c r="F110" s="23"/>
      <c r="G110" s="23"/>
      <c r="H110" s="23"/>
      <c r="I110" s="23"/>
      <c r="J110" s="23"/>
      <c r="K110" s="23"/>
    </row>
    <row r="111" spans="1:11">
      <c r="A111" s="20"/>
      <c r="B111" s="23"/>
      <c r="C111" s="23"/>
      <c r="D111" s="23"/>
      <c r="E111" s="23"/>
      <c r="F111" s="23"/>
      <c r="G111" s="23"/>
      <c r="H111" s="23"/>
      <c r="I111" s="23"/>
      <c r="J111" s="23"/>
      <c r="K111" s="23"/>
    </row>
    <row r="112" spans="1:11">
      <c r="A112" s="20"/>
      <c r="B112" s="23"/>
      <c r="C112" s="23"/>
      <c r="D112" s="23"/>
      <c r="E112" s="23"/>
      <c r="F112" s="23"/>
      <c r="G112" s="23"/>
      <c r="H112" s="23"/>
      <c r="I112" s="23"/>
      <c r="J112" s="23"/>
      <c r="K112" s="23"/>
    </row>
    <row r="113" spans="1:11">
      <c r="A113" s="20"/>
      <c r="B113" s="23"/>
      <c r="C113" s="23"/>
      <c r="D113" s="23"/>
      <c r="E113" s="23"/>
      <c r="F113" s="23"/>
      <c r="G113" s="23"/>
      <c r="H113" s="23"/>
      <c r="I113" s="23"/>
      <c r="J113" s="23"/>
      <c r="K113" s="23"/>
    </row>
    <row r="114" spans="1:11">
      <c r="A114" s="20"/>
      <c r="B114" s="23"/>
      <c r="C114" s="23"/>
      <c r="D114" s="23"/>
      <c r="E114" s="23"/>
      <c r="F114" s="23"/>
      <c r="G114" s="23"/>
      <c r="H114" s="23"/>
      <c r="I114" s="23"/>
      <c r="J114" s="23"/>
      <c r="K114" s="23"/>
    </row>
    <row r="115" spans="1:11">
      <c r="A115" s="20"/>
      <c r="B115" s="23"/>
      <c r="C115" s="23"/>
      <c r="D115" s="23"/>
      <c r="E115" s="23"/>
      <c r="F115" s="23"/>
      <c r="G115" s="23"/>
      <c r="H115" s="23"/>
      <c r="I115" s="23"/>
      <c r="J115" s="23"/>
      <c r="K115" s="23"/>
    </row>
    <row r="116" spans="1:11">
      <c r="A116" s="24"/>
      <c r="B116" s="25"/>
      <c r="C116" s="25"/>
      <c r="D116" s="25"/>
      <c r="E116" s="25"/>
      <c r="F116" s="25"/>
      <c r="G116" s="25"/>
      <c r="H116" s="25"/>
      <c r="I116" s="25"/>
      <c r="J116" s="25"/>
      <c r="K116" s="25"/>
    </row>
  </sheetData>
  <mergeCells count="7">
    <mergeCell ref="A26:E26"/>
    <mergeCell ref="A76:E76"/>
    <mergeCell ref="A96:E96"/>
    <mergeCell ref="A29:E29"/>
    <mergeCell ref="A1:K1"/>
    <mergeCell ref="A2:K2"/>
    <mergeCell ref="A3:K3"/>
  </mergeCells>
  <pageMargins left="0.32" right="0.23" top="0.75" bottom="0.75" header="0.51180555555555596" footer="0.51180555555555596"/>
  <pageSetup scale="55" firstPageNumber="0" orientation="portrait" horizontalDpi="300" verticalDpi="300" r:id="rId1"/>
  <headerFooter alignWithMargins="0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224"/>
  <sheetViews>
    <sheetView workbookViewId="0">
      <selection sqref="A1:K1"/>
    </sheetView>
  </sheetViews>
  <sheetFormatPr defaultRowHeight="12.75"/>
  <cols>
    <col min="1" max="1" width="5.5703125" style="1" bestFit="1" customWidth="1"/>
    <col min="2" max="2" width="59.140625" style="1" bestFit="1" customWidth="1"/>
    <col min="3" max="3" width="13.7109375" style="1" bestFit="1" customWidth="1"/>
    <col min="4" max="11" width="11.140625" style="1" bestFit="1" customWidth="1"/>
    <col min="12" max="12" width="9.140625" style="1" bestFit="1"/>
    <col min="13" max="16384" width="9.140625" style="1"/>
  </cols>
  <sheetData>
    <row r="1" spans="1:11" ht="15.75">
      <c r="A1" s="426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1" ht="15.75">
      <c r="A2" s="426"/>
      <c r="B2" s="426"/>
      <c r="C2" s="426"/>
      <c r="D2" s="426"/>
      <c r="E2" s="426"/>
      <c r="F2" s="28"/>
      <c r="G2" s="28"/>
      <c r="H2" s="28"/>
      <c r="I2" s="28"/>
      <c r="J2" s="28"/>
      <c r="K2" s="28"/>
    </row>
    <row r="3" spans="1:11" ht="15.75">
      <c r="A3" s="428" t="s">
        <v>66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</row>
    <row r="4" spans="1:11">
      <c r="A4" s="3" t="s">
        <v>2</v>
      </c>
      <c r="B4" s="3" t="s">
        <v>3</v>
      </c>
      <c r="C4" s="29" t="s">
        <v>4</v>
      </c>
      <c r="D4" s="30" t="str">
        <f>'General Info'!D4</f>
        <v>FY 2008-2009</v>
      </c>
      <c r="E4" s="30" t="str">
        <f>'General Info'!E4</f>
        <v>FY 2009-2010</v>
      </c>
      <c r="F4" s="30" t="str">
        <f>'General Info'!F4</f>
        <v>FY 2010-2011</v>
      </c>
      <c r="G4" s="30" t="str">
        <f>'General Info'!G4</f>
        <v>FY 2011-2012</v>
      </c>
      <c r="H4" s="30" t="str">
        <f>'General Info'!H4</f>
        <v>FY 2012-2013</v>
      </c>
      <c r="I4" s="30" t="str">
        <f>'General Info'!I4</f>
        <v>FY 2013-2014</v>
      </c>
      <c r="J4" s="30" t="str">
        <f>'General Info'!J4</f>
        <v>FY 2014-2015</v>
      </c>
      <c r="K4" s="30" t="str">
        <f>'General Info'!K4</f>
        <v>FY 2015-2016</v>
      </c>
    </row>
    <row r="5" spans="1:11">
      <c r="A5" s="31">
        <v>1</v>
      </c>
      <c r="B5" s="32" t="s">
        <v>67</v>
      </c>
      <c r="C5" s="33" t="s">
        <v>16</v>
      </c>
      <c r="D5" s="34" t="e">
        <f>IF(OR(D29="nd",'General Info'!D10="nd"),"nd",(D29)*100/'General Info'!D10)</f>
        <v>#DIV/0!</v>
      </c>
      <c r="E5" s="34" t="e">
        <f>IF(OR(E29="nd",'General Info'!E10="nd"),"nd",(E29)*100/'General Info'!E10)</f>
        <v>#DIV/0!</v>
      </c>
      <c r="F5" s="34">
        <f>IF(OR(F29="nd",'General Info'!F10="nd"),"nd",(F29)*100/'General Info'!F10)</f>
        <v>38.764001244555068</v>
      </c>
      <c r="G5" s="34">
        <f>IF(OR(G29="nd",'General Info'!G10="nd"),"nd",(G29)*100/'General Info'!G10)</f>
        <v>29.191642404521321</v>
      </c>
      <c r="H5" s="34">
        <f>IF(OR(H29="nd",'General Info'!H10="nd"),"nd",(H29)*100/'General Info'!H10)</f>
        <v>33.139236170577156</v>
      </c>
      <c r="I5" s="34">
        <f>IF(OR(I29="nd",'General Info'!I10="nd"),"nd",(I29)*100/'General Info'!I10)</f>
        <v>44.038676900385127</v>
      </c>
      <c r="J5" s="34">
        <f>IF(OR(J29="nd",'General Info'!J10="nd"),"nd",(J29)*100/'General Info'!J10)</f>
        <v>53.314842740198188</v>
      </c>
      <c r="K5" s="34">
        <f>IF(OR(K29="nd",'General Info'!K10="nd"),"nd",(K29)*100/'General Info'!K10)</f>
        <v>58.74300267954262</v>
      </c>
    </row>
    <row r="6" spans="1:11">
      <c r="A6" s="35"/>
      <c r="B6" s="432" t="s">
        <v>68</v>
      </c>
      <c r="C6" s="432"/>
      <c r="D6" s="432"/>
      <c r="E6" s="432"/>
      <c r="F6" s="37"/>
      <c r="G6" s="37"/>
      <c r="H6" s="37"/>
      <c r="I6" s="37"/>
      <c r="J6" s="37"/>
      <c r="K6" s="37"/>
    </row>
    <row r="7" spans="1:11">
      <c r="A7" s="5">
        <v>1.1000000000000001</v>
      </c>
      <c r="B7" s="38" t="s">
        <v>69</v>
      </c>
      <c r="C7" s="10" t="s">
        <v>19</v>
      </c>
      <c r="D7" s="39"/>
      <c r="E7" s="39"/>
      <c r="F7" s="39"/>
      <c r="G7" s="421">
        <v>0</v>
      </c>
      <c r="H7" s="421">
        <v>0</v>
      </c>
      <c r="I7" s="421">
        <v>0</v>
      </c>
      <c r="J7" s="422" t="s">
        <v>961</v>
      </c>
      <c r="K7" s="422" t="s">
        <v>961</v>
      </c>
    </row>
    <row r="8" spans="1:11">
      <c r="A8" s="5">
        <v>1.2</v>
      </c>
      <c r="B8" s="38" t="s">
        <v>70</v>
      </c>
      <c r="C8" s="10" t="s">
        <v>19</v>
      </c>
      <c r="D8" s="39"/>
      <c r="E8" s="39"/>
      <c r="F8" s="39"/>
      <c r="G8" s="421">
        <v>0</v>
      </c>
      <c r="H8" s="421">
        <v>0</v>
      </c>
      <c r="I8" s="421">
        <v>0</v>
      </c>
      <c r="J8" s="422" t="s">
        <v>961</v>
      </c>
      <c r="K8" s="422" t="s">
        <v>961</v>
      </c>
    </row>
    <row r="9" spans="1:11">
      <c r="A9" s="5">
        <v>1.3</v>
      </c>
      <c r="B9" s="38" t="s">
        <v>71</v>
      </c>
      <c r="C9" s="10" t="s">
        <v>19</v>
      </c>
      <c r="D9" s="39"/>
      <c r="E9" s="39"/>
      <c r="F9" s="421">
        <v>9007</v>
      </c>
      <c r="G9" s="421">
        <v>9067</v>
      </c>
      <c r="H9" s="421">
        <v>10618</v>
      </c>
      <c r="I9" s="421">
        <v>14450</v>
      </c>
      <c r="J9" s="421">
        <v>18045</v>
      </c>
      <c r="K9" s="421">
        <v>20306</v>
      </c>
    </row>
    <row r="10" spans="1:11">
      <c r="A10" s="5"/>
      <c r="B10" s="40" t="s">
        <v>72</v>
      </c>
      <c r="C10" s="10" t="s">
        <v>19</v>
      </c>
      <c r="D10" s="41">
        <f>IF(OR(D7="nd",D8="nd",D9="nd"),"nd",SUM($D$7:$D$9))</f>
        <v>0</v>
      </c>
      <c r="E10" s="41">
        <f>IF(OR(E7="nd",E8="nd",E9="nd"),"nd",SUM($E$7:$E$9))</f>
        <v>0</v>
      </c>
      <c r="F10" s="41">
        <f>IF(OR(F7="nd",F8="nd",F9="nd"),"nd",SUM($F$7:$F$9))</f>
        <v>9007</v>
      </c>
      <c r="G10" s="41">
        <f>IF(OR(G7="nd",G8="nd",G9="nd"),"nd",SUM($G$7:$G$9))</f>
        <v>9067</v>
      </c>
      <c r="H10" s="41">
        <f>IF(OR(H7="nd",H8="nd",H9="nd"),"nd",SUM($H$7:$H$9))</f>
        <v>10618</v>
      </c>
      <c r="I10" s="41">
        <f>IF(OR(I7="nd",I8="nd",I9="nd"),"nd",SUM($I$7:$I$9))</f>
        <v>14450</v>
      </c>
      <c r="J10" s="41">
        <f>IF(OR(J7="nd",J8="nd",J9="nd"),"nd",SUM(J7:J9))</f>
        <v>18045</v>
      </c>
      <c r="K10" s="41">
        <f>IF(OR(K7="nd",K8="nd",K9="nd"),"nd",SUM(K7:K9))</f>
        <v>20306</v>
      </c>
    </row>
    <row r="11" spans="1:11">
      <c r="A11" s="5">
        <v>1.4</v>
      </c>
      <c r="B11" s="38" t="s">
        <v>73</v>
      </c>
      <c r="C11" s="10" t="s">
        <v>19</v>
      </c>
      <c r="D11" s="39"/>
      <c r="E11" s="39"/>
      <c r="F11" s="39"/>
      <c r="G11" s="421">
        <v>0</v>
      </c>
      <c r="H11" s="421">
        <v>0</v>
      </c>
      <c r="I11" s="421">
        <v>0</v>
      </c>
      <c r="J11" s="422" t="s">
        <v>961</v>
      </c>
      <c r="K11" s="422" t="s">
        <v>961</v>
      </c>
    </row>
    <row r="12" spans="1:11">
      <c r="A12" s="5">
        <v>1.5</v>
      </c>
      <c r="B12" s="38" t="s">
        <v>74</v>
      </c>
      <c r="C12" s="10" t="s">
        <v>19</v>
      </c>
      <c r="D12" s="39"/>
      <c r="E12" s="39"/>
      <c r="F12" s="39"/>
      <c r="G12" s="421">
        <v>0</v>
      </c>
      <c r="H12" s="421">
        <v>0</v>
      </c>
      <c r="I12" s="421">
        <v>0</v>
      </c>
      <c r="J12" s="422" t="s">
        <v>961</v>
      </c>
      <c r="K12" s="422" t="s">
        <v>961</v>
      </c>
    </row>
    <row r="13" spans="1:11">
      <c r="A13" s="5">
        <v>1.6</v>
      </c>
      <c r="B13" s="38" t="s">
        <v>75</v>
      </c>
      <c r="C13" s="10" t="s">
        <v>19</v>
      </c>
      <c r="D13" s="39"/>
      <c r="E13" s="39"/>
      <c r="F13" s="421">
        <v>33</v>
      </c>
      <c r="G13" s="421">
        <v>33</v>
      </c>
      <c r="H13" s="421">
        <v>38</v>
      </c>
      <c r="I13" s="421">
        <v>38</v>
      </c>
      <c r="J13" s="421">
        <v>38</v>
      </c>
      <c r="K13" s="421">
        <v>40</v>
      </c>
    </row>
    <row r="14" spans="1:11">
      <c r="A14" s="5"/>
      <c r="B14" s="40" t="s">
        <v>76</v>
      </c>
      <c r="C14" s="10" t="s">
        <v>19</v>
      </c>
      <c r="D14" s="41">
        <f>IF(OR(D11="nd",D12="nd",D13="nd"),"nd",SUM($D$11:$D$13))</f>
        <v>0</v>
      </c>
      <c r="E14" s="41">
        <f>IF(OR(E11="nd",E12="nd",E13="nd"),"nd",SUM($E$11:$E$13))</f>
        <v>0</v>
      </c>
      <c r="F14" s="41">
        <f>IF(OR(F11="nd",F12="nd",F13="nd"),"nd",SUM($F$11:$F$13))</f>
        <v>33</v>
      </c>
      <c r="G14" s="41">
        <f>IF(OR(G11="nd",G12="nd",G13="nd"),"nd",SUM($G$11:$G$13))</f>
        <v>33</v>
      </c>
      <c r="H14" s="41">
        <f>IF(OR(H11="nd",H12="nd",H13="nd"),"nd",SUM($H$11:$H$13))</f>
        <v>38</v>
      </c>
      <c r="I14" s="41">
        <f>IF(OR(I11="nd",I12="nd",I13="nd"),"nd",SUM($I$11:$I$13))</f>
        <v>38</v>
      </c>
      <c r="J14" s="41">
        <f>IF(OR(J11="nd",J12="nd",J13="nd"),"nd",SUM(J11:J13))</f>
        <v>38</v>
      </c>
      <c r="K14" s="41">
        <f>IF(OR(K11="nd",K12="nd",K13="nd"),"nd",SUM(K11:K13))</f>
        <v>40</v>
      </c>
    </row>
    <row r="15" spans="1:11">
      <c r="A15" s="5">
        <v>1.7</v>
      </c>
      <c r="B15" s="38" t="s">
        <v>77</v>
      </c>
      <c r="C15" s="10" t="s">
        <v>19</v>
      </c>
      <c r="D15" s="39"/>
      <c r="E15" s="39"/>
      <c r="F15" s="39"/>
      <c r="G15" s="421">
        <v>0</v>
      </c>
      <c r="H15" s="421">
        <v>0</v>
      </c>
      <c r="I15" s="421">
        <v>0</v>
      </c>
      <c r="J15" s="422" t="s">
        <v>961</v>
      </c>
      <c r="K15" s="422" t="s">
        <v>961</v>
      </c>
    </row>
    <row r="16" spans="1:11">
      <c r="A16" s="5">
        <v>1.8</v>
      </c>
      <c r="B16" s="38" t="s">
        <v>78</v>
      </c>
      <c r="C16" s="10" t="s">
        <v>19</v>
      </c>
      <c r="D16" s="39"/>
      <c r="E16" s="39"/>
      <c r="F16" s="39"/>
      <c r="G16" s="421">
        <v>0</v>
      </c>
      <c r="H16" s="421">
        <v>0</v>
      </c>
      <c r="I16" s="421">
        <v>0</v>
      </c>
      <c r="J16" s="422" t="s">
        <v>961</v>
      </c>
      <c r="K16" s="422" t="s">
        <v>961</v>
      </c>
    </row>
    <row r="17" spans="1:11">
      <c r="A17" s="5">
        <v>1.9</v>
      </c>
      <c r="B17" s="38" t="s">
        <v>79</v>
      </c>
      <c r="C17" s="10" t="s">
        <v>19</v>
      </c>
      <c r="D17" s="39"/>
      <c r="E17" s="39"/>
      <c r="F17" s="421">
        <v>5</v>
      </c>
      <c r="G17" s="421">
        <v>5</v>
      </c>
      <c r="H17" s="421">
        <v>5</v>
      </c>
      <c r="I17" s="421">
        <v>5</v>
      </c>
      <c r="J17" s="421">
        <v>5</v>
      </c>
      <c r="K17" s="421">
        <v>8</v>
      </c>
    </row>
    <row r="18" spans="1:11">
      <c r="A18" s="5"/>
      <c r="B18" s="40" t="s">
        <v>80</v>
      </c>
      <c r="C18" s="10" t="s">
        <v>19</v>
      </c>
      <c r="D18" s="41">
        <f>IF(OR(D15="nd",D16="nd",D17="nd"),"nd",SUM($D$15:$D$17))</f>
        <v>0</v>
      </c>
      <c r="E18" s="41">
        <f>IF(OR(E15="nd",E16="nd",E17="nd"),"nd",SUM($E$15:$E$17))</f>
        <v>0</v>
      </c>
      <c r="F18" s="41">
        <f>IF(OR(F15="nd",F16="nd",F17="nd"),"nd",SUM($F$15:$F$17))</f>
        <v>5</v>
      </c>
      <c r="G18" s="41">
        <f>IF(OR(G15="nd",G16="nd",G17="nd"),"nd",SUM($G$15:$G$17))</f>
        <v>5</v>
      </c>
      <c r="H18" s="41">
        <f>IF(OR(H15="nd",H16="nd",H17="nd"),"nd",SUM($H$15:$H$17))</f>
        <v>5</v>
      </c>
      <c r="I18" s="41">
        <f>IF(OR(I15="nd",I16="nd",I17="nd"),"nd",SUM($I$15:$I$17))</f>
        <v>5</v>
      </c>
      <c r="J18" s="41">
        <f>IF(OR(J15="nd",J16="nd",J17="nd"),"nd",SUM(J15:J17))</f>
        <v>5</v>
      </c>
      <c r="K18" s="41">
        <f>IF(OR(K15="nd",K16="nd",K17="nd"),"nd",SUM(K15:K17))</f>
        <v>8</v>
      </c>
    </row>
    <row r="19" spans="1:11">
      <c r="A19" s="272">
        <v>1.1000000000000001</v>
      </c>
      <c r="B19" s="38" t="s">
        <v>81</v>
      </c>
      <c r="C19" s="10" t="s">
        <v>19</v>
      </c>
      <c r="D19" s="39"/>
      <c r="E19" s="39"/>
      <c r="F19" s="39"/>
      <c r="G19" s="421">
        <v>0</v>
      </c>
      <c r="H19" s="421">
        <v>0</v>
      </c>
      <c r="I19" s="421">
        <v>0</v>
      </c>
      <c r="J19" s="422" t="s">
        <v>961</v>
      </c>
      <c r="K19" s="422" t="s">
        <v>961</v>
      </c>
    </row>
    <row r="20" spans="1:11">
      <c r="A20" s="5">
        <v>1.1100000000000001</v>
      </c>
      <c r="B20" s="38" t="s">
        <v>82</v>
      </c>
      <c r="C20" s="10" t="s">
        <v>19</v>
      </c>
      <c r="D20" s="39"/>
      <c r="E20" s="39"/>
      <c r="F20" s="39"/>
      <c r="G20" s="421">
        <v>0</v>
      </c>
      <c r="H20" s="421">
        <v>0</v>
      </c>
      <c r="I20" s="421">
        <v>0</v>
      </c>
      <c r="J20" s="422" t="s">
        <v>961</v>
      </c>
      <c r="K20" s="422" t="s">
        <v>961</v>
      </c>
    </row>
    <row r="21" spans="1:11">
      <c r="A21" s="272">
        <v>1.1200000000000001</v>
      </c>
      <c r="B21" s="38" t="s">
        <v>83</v>
      </c>
      <c r="C21" s="10" t="s">
        <v>19</v>
      </c>
      <c r="D21" s="39"/>
      <c r="E21" s="39"/>
      <c r="F21" s="39"/>
      <c r="G21" s="421">
        <v>0</v>
      </c>
      <c r="H21" s="421">
        <v>0</v>
      </c>
      <c r="I21" s="39"/>
      <c r="J21" s="421">
        <v>0</v>
      </c>
      <c r="K21" s="421">
        <v>0</v>
      </c>
    </row>
    <row r="22" spans="1:11">
      <c r="A22" s="5"/>
      <c r="B22" s="40" t="s">
        <v>84</v>
      </c>
      <c r="C22" s="10" t="s">
        <v>19</v>
      </c>
      <c r="D22" s="41">
        <f>IF(OR(D19="nd",D20="nd",D21="nd"),"nd",SUM($D$19:$D$21))</f>
        <v>0</v>
      </c>
      <c r="E22" s="41">
        <f>IF(OR(E19="nd",E20="nd",E21="nd"),"nd",SUM($E$19:$E$21))</f>
        <v>0</v>
      </c>
      <c r="F22" s="41">
        <f>IF(OR(F19="nd",F20="nd",F21="nd"),"nd",SUM($F$19:$F$21))</f>
        <v>0</v>
      </c>
      <c r="G22" s="41">
        <f>IF(OR(G19="nd",G20="nd",G21="nd"),"nd",SUM($G$19:$G$21))</f>
        <v>0</v>
      </c>
      <c r="H22" s="41">
        <f>IF(OR(H19="nd",H20="nd",H21="nd"),"nd",SUM($H$19:$H$21))</f>
        <v>0</v>
      </c>
      <c r="I22" s="41">
        <f>IF(OR(I19="nd",I20="nd",I21="nd"),"nd",SUM($I$19:$I$21))</f>
        <v>0</v>
      </c>
      <c r="J22" s="41">
        <f>IF(OR(J19="nd",J20="nd",J21="nd"),"nd",SUM(J19:J21))</f>
        <v>0</v>
      </c>
      <c r="K22" s="41">
        <f>IF(OR(K19="nd",K20="nd",K21="nd"),"nd",SUM(K19:K21))</f>
        <v>0</v>
      </c>
    </row>
    <row r="23" spans="1:11">
      <c r="A23" s="5"/>
      <c r="B23" s="40" t="s">
        <v>85</v>
      </c>
      <c r="C23" s="10" t="s">
        <v>19</v>
      </c>
      <c r="D23" s="41">
        <f t="shared" ref="D23:I23" si="0">IF(OR(D10="nd",D14="nd",D18="nd",D22="nd"),"nd",SUM(D10,D14,D18,D22))</f>
        <v>0</v>
      </c>
      <c r="E23" s="41">
        <f t="shared" si="0"/>
        <v>0</v>
      </c>
      <c r="F23" s="41">
        <f t="shared" si="0"/>
        <v>9045</v>
      </c>
      <c r="G23" s="41">
        <f t="shared" si="0"/>
        <v>9105</v>
      </c>
      <c r="H23" s="41">
        <f t="shared" si="0"/>
        <v>10661</v>
      </c>
      <c r="I23" s="41">
        <f t="shared" si="0"/>
        <v>14493</v>
      </c>
      <c r="J23" s="41">
        <f>IF(OR(J10="nd",J14="nd",J18="nd",J22="nd"),"nd",SUM(J10,J14,J18,J22))</f>
        <v>18088</v>
      </c>
      <c r="K23" s="41">
        <f>IF(OR(K10="nd",K14="nd",K18="nd",K22="nd"),"nd",SUM(K10,K14,K18,K22))</f>
        <v>20354</v>
      </c>
    </row>
    <row r="24" spans="1:11">
      <c r="A24" s="42"/>
      <c r="B24" s="42"/>
      <c r="C24" s="42"/>
      <c r="D24" s="43"/>
      <c r="E24" s="43"/>
      <c r="F24" s="43"/>
      <c r="G24" s="43"/>
      <c r="H24" s="43"/>
      <c r="I24" s="43"/>
      <c r="J24" s="43"/>
      <c r="K24" s="43"/>
    </row>
    <row r="25" spans="1:11">
      <c r="A25" s="44"/>
      <c r="B25" s="36" t="s">
        <v>86</v>
      </c>
      <c r="C25" s="45" t="s">
        <v>4</v>
      </c>
      <c r="D25" s="46" t="str">
        <f>'General Info'!D4</f>
        <v>FY 2008-2009</v>
      </c>
      <c r="E25" s="46" t="str">
        <f>'General Info'!E4</f>
        <v>FY 2009-2010</v>
      </c>
      <c r="F25" s="46" t="str">
        <f>'General Info'!F4</f>
        <v>FY 2010-2011</v>
      </c>
      <c r="G25" s="46" t="str">
        <f>'General Info'!G4</f>
        <v>FY 2011-2012</v>
      </c>
      <c r="H25" s="46" t="str">
        <f>'General Info'!H4</f>
        <v>FY 2012-2013</v>
      </c>
      <c r="I25" s="46" t="str">
        <f>'General Info'!I4</f>
        <v>FY 2013-2014</v>
      </c>
      <c r="J25" s="46" t="str">
        <f>'General Info'!J4</f>
        <v>FY 2014-2015</v>
      </c>
      <c r="K25" s="46" t="str">
        <f>'General Info'!K4</f>
        <v>FY 2015-2016</v>
      </c>
    </row>
    <row r="26" spans="1:11">
      <c r="A26" s="5">
        <v>1.1299999999999999</v>
      </c>
      <c r="B26" s="38" t="s">
        <v>87</v>
      </c>
      <c r="C26" s="10" t="s">
        <v>19</v>
      </c>
      <c r="D26" s="39"/>
      <c r="E26" s="39"/>
      <c r="F26" s="421">
        <v>9007</v>
      </c>
      <c r="G26" s="421">
        <v>9067</v>
      </c>
      <c r="H26" s="421">
        <v>10700</v>
      </c>
      <c r="I26" s="421">
        <v>15193</v>
      </c>
      <c r="J26" s="421">
        <v>18869</v>
      </c>
      <c r="K26" s="421">
        <v>21112</v>
      </c>
    </row>
    <row r="27" spans="1:11">
      <c r="A27" s="5">
        <v>1.1399999999999999</v>
      </c>
      <c r="B27" s="38" t="s">
        <v>88</v>
      </c>
      <c r="C27" s="10" t="s">
        <v>19</v>
      </c>
      <c r="D27" s="39"/>
      <c r="E27" s="39"/>
      <c r="F27" s="421">
        <v>660</v>
      </c>
      <c r="G27" s="421">
        <v>660</v>
      </c>
      <c r="H27" s="421">
        <v>760</v>
      </c>
      <c r="I27" s="421">
        <v>780</v>
      </c>
      <c r="J27" s="421">
        <v>780</v>
      </c>
      <c r="K27" s="421">
        <v>828</v>
      </c>
    </row>
    <row r="28" spans="1:11">
      <c r="A28" s="5">
        <v>1.1499999999999999</v>
      </c>
      <c r="B28" s="38" t="s">
        <v>89</v>
      </c>
      <c r="C28" s="10" t="s">
        <v>19</v>
      </c>
      <c r="D28" s="39"/>
      <c r="E28" s="39"/>
      <c r="F28" s="421">
        <v>300</v>
      </c>
      <c r="G28" s="421">
        <v>500</v>
      </c>
      <c r="H28" s="421">
        <v>150</v>
      </c>
      <c r="I28" s="421">
        <v>150</v>
      </c>
      <c r="J28" s="421">
        <v>150</v>
      </c>
      <c r="K28" s="421">
        <v>202</v>
      </c>
    </row>
    <row r="29" spans="1:11">
      <c r="A29" s="5"/>
      <c r="B29" s="40" t="s">
        <v>90</v>
      </c>
      <c r="C29" s="10" t="s">
        <v>19</v>
      </c>
      <c r="D29" s="41">
        <f>IF(OR(D26="nd",D27="nd",D28="nd"),"nd",SUM(D26:D28))</f>
        <v>0</v>
      </c>
      <c r="E29" s="41">
        <f>IF(OR(E26="nd",E27="nd",E28="nd"),"nd",SUM($E$26:$E$28))</f>
        <v>0</v>
      </c>
      <c r="F29" s="41">
        <f>IF(OR(F26="nd",F27="nd",F28="nd"),"nd",SUM($F$26:$F$28))</f>
        <v>9967</v>
      </c>
      <c r="G29" s="41">
        <f>IF(OR(G26="nd",G27="nd",G28="nd"),"nd",SUM($G$26:$G$28))</f>
        <v>10227</v>
      </c>
      <c r="H29" s="41">
        <f>IF(OR(H26="nd",H27="nd",H28="nd"),"nd",SUM($H$26:$H$28))</f>
        <v>11610</v>
      </c>
      <c r="I29" s="41">
        <f>IF(OR(I26="nd",I27="nd",I28="nd"),"nd",SUM($I$26:$I$28))</f>
        <v>16123</v>
      </c>
      <c r="J29" s="41">
        <f>IF(OR(J26="nd",J27="nd",J28="nd"),"nd",SUM($J$26:$J$28))</f>
        <v>19799</v>
      </c>
      <c r="K29" s="41">
        <f>IF(OR(K26="nd",K27="nd",K28="nd"),"nd",SUM(K26:K28))</f>
        <v>22142</v>
      </c>
    </row>
    <row r="30" spans="1:11">
      <c r="A30" s="47"/>
      <c r="B30" s="48" t="s">
        <v>91</v>
      </c>
      <c r="C30" s="49"/>
      <c r="D30" s="50"/>
      <c r="E30" s="50"/>
      <c r="F30" s="50"/>
      <c r="G30" s="50"/>
      <c r="H30" s="50"/>
      <c r="I30" s="50"/>
      <c r="J30" s="50"/>
      <c r="K30" s="50"/>
    </row>
    <row r="31" spans="1:11">
      <c r="A31" s="51">
        <v>2</v>
      </c>
      <c r="B31" s="52" t="s">
        <v>92</v>
      </c>
      <c r="C31" s="33" t="s">
        <v>93</v>
      </c>
      <c r="D31" s="53" t="e">
        <f>IF(OR(D42="nd",D43="nd",D44="nd",D46="nd",D49="nd",'General Info'!D8="nd"),"nd",SUM(D42,D43,D44,D46,D49)*10^6/'General Info'!D8)</f>
        <v>#DIV/0!</v>
      </c>
      <c r="E31" s="53" t="e">
        <f>IF(OR(E42="nd",E43="nd",E44="nd",E46="nd",E49="nd",'General Info'!E8="nd"),"nd",SUM(E42,E43,E44,E46,E49)*10^6/'General Info'!E8)</f>
        <v>#DIV/0!</v>
      </c>
      <c r="F31" s="53">
        <f>IF(OR(F42="nd",F43="nd",F44="nd",F46="nd",F49="nd",'General Info'!F8="nd"),"nd",SUM(F42,F43,F44,F46,F49)*10^6/'General Info'!F8)</f>
        <v>47.871775486134212</v>
      </c>
      <c r="G31" s="53">
        <f>IF(OR(G42="nd",G43="nd",G44="nd",G46="nd",G49="nd",'General Info'!G8="nd"),"nd",SUM(G42,G43,G44,G46,G49)*10^6/'General Info'!G8)</f>
        <v>84.035675291057871</v>
      </c>
      <c r="H31" s="53">
        <f>IF(OR(H42="nd",H43="nd",H44="nd",H46="nd",H49="nd",'General Info'!H8="nd"),"nd",SUM(H42,H43,H44,H46,H49)*10^6/'General Info'!H8)</f>
        <v>132.65164288606462</v>
      </c>
      <c r="I31" s="53">
        <f>IF(OR(I42="nd",I43="nd",I44="nd",I46="nd",I49="nd",'General Info'!I8="nd"),"nd",SUM(I42,I43,I44,I46,I49)*10^6/'General Info'!I8)</f>
        <v>132.07170613164908</v>
      </c>
      <c r="J31" s="53">
        <f>IF(OR(J42="nd",J43="nd",J44="nd",J46="nd",J49="nd",'General Info'!J8="nd"),"nd",SUM(J42,J43,J44,J46,J49)*10^6/'General Info'!J8)</f>
        <v>130.12023109353044</v>
      </c>
      <c r="K31" s="53">
        <f>IF(OR(K42="nd",K43="nd",K44="nd",K46="nd",K49="nd",'General Info'!K8="nd"),"nd",SUM(K42,K43,K44,K46,K49)*10^6/'General Info'!K8)</f>
        <v>128.19709305969425</v>
      </c>
    </row>
    <row r="32" spans="1:11">
      <c r="A32" s="44"/>
      <c r="B32" s="36" t="s">
        <v>94</v>
      </c>
      <c r="C32" s="45" t="s">
        <v>4</v>
      </c>
      <c r="D32" s="45" t="str">
        <f>'General Info'!D4</f>
        <v>FY 2008-2009</v>
      </c>
      <c r="E32" s="45" t="str">
        <f>'General Info'!E4</f>
        <v>FY 2009-2010</v>
      </c>
      <c r="F32" s="45" t="str">
        <f>'General Info'!F4</f>
        <v>FY 2010-2011</v>
      </c>
      <c r="G32" s="45" t="str">
        <f>'General Info'!G4</f>
        <v>FY 2011-2012</v>
      </c>
      <c r="H32" s="45" t="str">
        <f>'General Info'!H4</f>
        <v>FY 2012-2013</v>
      </c>
      <c r="I32" s="45" t="str">
        <f>'General Info'!I4</f>
        <v>FY 2013-2014</v>
      </c>
      <c r="J32" s="45" t="str">
        <f>'General Info'!J4</f>
        <v>FY 2014-2015</v>
      </c>
      <c r="K32" s="45" t="str">
        <f>'General Info'!K4</f>
        <v>FY 2015-2016</v>
      </c>
    </row>
    <row r="33" spans="1:11">
      <c r="A33" s="5">
        <v>2.1</v>
      </c>
      <c r="B33" s="38" t="s">
        <v>95</v>
      </c>
      <c r="C33" s="10" t="s">
        <v>96</v>
      </c>
      <c r="D33" s="61"/>
      <c r="E33" s="61"/>
      <c r="F33" s="422">
        <v>21</v>
      </c>
      <c r="G33" s="422">
        <v>21</v>
      </c>
      <c r="H33" s="422">
        <v>33</v>
      </c>
      <c r="I33" s="422">
        <v>33</v>
      </c>
      <c r="J33" s="422">
        <v>33</v>
      </c>
      <c r="K33" s="422">
        <v>33</v>
      </c>
    </row>
    <row r="34" spans="1:11">
      <c r="A34" s="5">
        <v>2.2000000000000002</v>
      </c>
      <c r="B34" s="38" t="s">
        <v>97</v>
      </c>
      <c r="C34" s="10" t="s">
        <v>96</v>
      </c>
      <c r="D34" s="61"/>
      <c r="E34" s="61"/>
      <c r="F34" s="422">
        <v>15</v>
      </c>
      <c r="G34" s="422">
        <v>15</v>
      </c>
      <c r="H34" s="422">
        <v>21.45</v>
      </c>
      <c r="I34" s="422">
        <v>22</v>
      </c>
      <c r="J34" s="422">
        <v>22</v>
      </c>
      <c r="K34" s="422">
        <v>22</v>
      </c>
    </row>
    <row r="35" spans="1:11">
      <c r="A35" s="5">
        <v>2.2999999999999998</v>
      </c>
      <c r="B35" s="38" t="s">
        <v>98</v>
      </c>
      <c r="C35" s="10" t="s">
        <v>96</v>
      </c>
      <c r="D35" s="61"/>
      <c r="E35" s="61"/>
      <c r="F35" s="61"/>
      <c r="G35" s="422">
        <v>0</v>
      </c>
      <c r="H35" s="422">
        <v>0</v>
      </c>
      <c r="I35" s="422">
        <v>0</v>
      </c>
      <c r="J35" s="422">
        <v>0</v>
      </c>
      <c r="K35" s="422">
        <v>0</v>
      </c>
    </row>
    <row r="36" spans="1:11">
      <c r="A36" s="5">
        <v>2.4</v>
      </c>
      <c r="B36" s="38" t="s">
        <v>99</v>
      </c>
      <c r="C36" s="10" t="s">
        <v>96</v>
      </c>
      <c r="D36" s="61"/>
      <c r="E36" s="61"/>
      <c r="F36" s="422">
        <v>0.5</v>
      </c>
      <c r="G36" s="422">
        <v>0.5</v>
      </c>
      <c r="H36" s="422">
        <v>0.5</v>
      </c>
      <c r="I36" s="422">
        <v>0.5</v>
      </c>
      <c r="J36" s="422">
        <v>0.5</v>
      </c>
      <c r="K36" s="422">
        <v>0.5</v>
      </c>
    </row>
    <row r="37" spans="1:11">
      <c r="A37" s="5">
        <v>2.5</v>
      </c>
      <c r="B37" s="38" t="s">
        <v>100</v>
      </c>
      <c r="C37" s="10" t="s">
        <v>96</v>
      </c>
      <c r="D37" s="61"/>
      <c r="E37" s="61"/>
      <c r="F37" s="61"/>
      <c r="G37" s="422">
        <v>0</v>
      </c>
      <c r="H37" s="422">
        <v>0</v>
      </c>
      <c r="I37" s="422">
        <v>0</v>
      </c>
      <c r="J37" s="422">
        <v>0</v>
      </c>
      <c r="K37" s="422">
        <v>0</v>
      </c>
    </row>
    <row r="38" spans="1:11">
      <c r="A38" s="5"/>
      <c r="B38" s="40" t="s">
        <v>101</v>
      </c>
      <c r="C38" s="10" t="s">
        <v>96</v>
      </c>
      <c r="D38" s="41">
        <f t="shared" ref="D38:J38" si="1">IF(OR(D33="nd",D35="nd"),"nd",IF(D33="na",IF(D35="na",0,D35),SUM(D33,D35)))</f>
        <v>0</v>
      </c>
      <c r="E38" s="41">
        <f t="shared" si="1"/>
        <v>0</v>
      </c>
      <c r="F38" s="41">
        <f t="shared" si="1"/>
        <v>21</v>
      </c>
      <c r="G38" s="41">
        <f t="shared" si="1"/>
        <v>21</v>
      </c>
      <c r="H38" s="41">
        <f t="shared" si="1"/>
        <v>33</v>
      </c>
      <c r="I38" s="41">
        <f t="shared" si="1"/>
        <v>33</v>
      </c>
      <c r="J38" s="41">
        <f t="shared" si="1"/>
        <v>33</v>
      </c>
      <c r="K38" s="41">
        <f>IF(OR(K33="nd",K35="nd"),"nd",IF(K33="na",IF(K35="na",0,K35),SUM(K33,K35)))</f>
        <v>33</v>
      </c>
    </row>
    <row r="39" spans="1:11">
      <c r="A39" s="5"/>
      <c r="B39" s="40" t="s">
        <v>102</v>
      </c>
      <c r="C39" s="10" t="s">
        <v>96</v>
      </c>
      <c r="D39" s="41">
        <f t="shared" ref="D39:J39" si="2">IF(OR(D34="nd",D36="nd",D37="nd"),"nd",IF(D34="na",IF(D36="na",IF(D37="na",0,D37),IF(D37="na",D36,SUM(D36,D37))),IF(D36="na",IF(D37="na",D34,SUM(D34,D37)),IF(D37="na",SUM(D34,D36),SUM(D34,D36,D37)))))</f>
        <v>0</v>
      </c>
      <c r="E39" s="41">
        <f t="shared" si="2"/>
        <v>0</v>
      </c>
      <c r="F39" s="41">
        <f t="shared" si="2"/>
        <v>15.5</v>
      </c>
      <c r="G39" s="41">
        <f t="shared" si="2"/>
        <v>15.5</v>
      </c>
      <c r="H39" s="41">
        <f t="shared" si="2"/>
        <v>21.95</v>
      </c>
      <c r="I39" s="41">
        <f t="shared" si="2"/>
        <v>22.5</v>
      </c>
      <c r="J39" s="41">
        <f t="shared" si="2"/>
        <v>22.5</v>
      </c>
      <c r="K39" s="41">
        <f>IF(OR(K34="nd",K36="nd",K37="nd"),"nd",IF(K34="na",IF(K36="na",IF(K37="na",0,K37),IF(K37="na",K36,SUM(K36,K37))),IF(K36="na",IF(K37="na",K34,SUM(K34,K37)),IF(K37="na",SUM(K34,K36),SUM(K34,K36,K37)))))</f>
        <v>22.5</v>
      </c>
    </row>
    <row r="40" spans="1:1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>
      <c r="A41" s="44"/>
      <c r="B41" s="54" t="s">
        <v>103</v>
      </c>
      <c r="C41" s="45" t="s">
        <v>4</v>
      </c>
      <c r="D41" s="45" t="str">
        <f>'General Info'!D4</f>
        <v>FY 2008-2009</v>
      </c>
      <c r="E41" s="45" t="str">
        <f>'General Info'!E4</f>
        <v>FY 2009-2010</v>
      </c>
      <c r="F41" s="45" t="str">
        <f>'General Info'!F4</f>
        <v>FY 2010-2011</v>
      </c>
      <c r="G41" s="45" t="str">
        <f>'General Info'!G4</f>
        <v>FY 2011-2012</v>
      </c>
      <c r="H41" s="45" t="str">
        <f>'General Info'!H4</f>
        <v>FY 2012-2013</v>
      </c>
      <c r="I41" s="45" t="str">
        <f>'General Info'!I4</f>
        <v>FY 2013-2014</v>
      </c>
      <c r="J41" s="45" t="str">
        <f>'General Info'!J4</f>
        <v>FY 2014-2015</v>
      </c>
      <c r="K41" s="45" t="str">
        <f>'General Info'!K4</f>
        <v>FY 2015-2016</v>
      </c>
    </row>
    <row r="42" spans="1:11">
      <c r="A42" s="5">
        <v>2.6</v>
      </c>
      <c r="B42" s="38" t="s">
        <v>104</v>
      </c>
      <c r="C42" s="10" t="s">
        <v>96</v>
      </c>
      <c r="D42" s="61"/>
      <c r="E42" s="61"/>
      <c r="F42" s="422">
        <v>5.7644799999999998</v>
      </c>
      <c r="G42" s="422">
        <v>6</v>
      </c>
      <c r="H42" s="422">
        <v>12</v>
      </c>
      <c r="I42" s="422">
        <v>13.8</v>
      </c>
      <c r="J42" s="422">
        <v>15.2</v>
      </c>
      <c r="K42" s="422">
        <v>16.5</v>
      </c>
    </row>
    <row r="43" spans="1:11">
      <c r="A43" s="5">
        <v>2.7</v>
      </c>
      <c r="B43" s="38" t="s">
        <v>105</v>
      </c>
      <c r="C43" s="10" t="s">
        <v>96</v>
      </c>
      <c r="D43" s="61"/>
      <c r="E43" s="61"/>
      <c r="F43" s="422">
        <v>0.4224</v>
      </c>
      <c r="G43" s="422">
        <v>0.5</v>
      </c>
      <c r="H43" s="422">
        <v>1</v>
      </c>
      <c r="I43" s="422">
        <v>0.5</v>
      </c>
      <c r="J43" s="422">
        <v>0.5</v>
      </c>
      <c r="K43" s="422">
        <v>0.6</v>
      </c>
    </row>
    <row r="44" spans="1:11">
      <c r="A44" s="5">
        <v>2.8</v>
      </c>
      <c r="B44" s="38" t="s">
        <v>106</v>
      </c>
      <c r="C44" s="10" t="s">
        <v>96</v>
      </c>
      <c r="D44" s="61"/>
      <c r="E44" s="61"/>
      <c r="F44" s="422">
        <v>0.192</v>
      </c>
      <c r="G44" s="422">
        <v>0.5</v>
      </c>
      <c r="H44" s="422">
        <v>0.2</v>
      </c>
      <c r="I44" s="422">
        <v>0.2</v>
      </c>
      <c r="J44" s="422">
        <v>0.2</v>
      </c>
      <c r="K44" s="422">
        <v>0.25</v>
      </c>
    </row>
    <row r="45" spans="1:11">
      <c r="A45" s="5">
        <v>2.9</v>
      </c>
      <c r="B45" s="38" t="s">
        <v>107</v>
      </c>
      <c r="C45" s="10" t="s">
        <v>96</v>
      </c>
      <c r="D45" s="61"/>
      <c r="E45" s="61"/>
      <c r="F45" s="61"/>
      <c r="G45" s="422">
        <v>1.8</v>
      </c>
      <c r="H45" s="61"/>
      <c r="I45" s="422">
        <v>0</v>
      </c>
      <c r="J45" s="422">
        <v>0</v>
      </c>
      <c r="K45" s="422">
        <v>0</v>
      </c>
    </row>
    <row r="46" spans="1:11">
      <c r="A46" s="272">
        <v>2.1</v>
      </c>
      <c r="B46" s="38" t="s">
        <v>108</v>
      </c>
      <c r="C46" s="10" t="s">
        <v>96</v>
      </c>
      <c r="D46" s="61"/>
      <c r="E46" s="61"/>
      <c r="F46" s="61"/>
      <c r="G46" s="422">
        <v>0</v>
      </c>
      <c r="H46" s="422">
        <v>0</v>
      </c>
      <c r="I46" s="422">
        <v>0</v>
      </c>
      <c r="J46" s="422">
        <v>0</v>
      </c>
      <c r="K46" s="422">
        <v>0</v>
      </c>
    </row>
    <row r="47" spans="1:11">
      <c r="A47" s="5">
        <v>2.11</v>
      </c>
      <c r="B47" s="38" t="s">
        <v>109</v>
      </c>
      <c r="C47" s="10" t="s">
        <v>96</v>
      </c>
      <c r="D47" s="61"/>
      <c r="E47" s="61"/>
      <c r="F47" s="61"/>
      <c r="G47" s="61"/>
      <c r="H47" s="422">
        <v>0</v>
      </c>
      <c r="I47" s="422">
        <v>0</v>
      </c>
      <c r="J47" s="422">
        <v>0</v>
      </c>
      <c r="K47" s="422">
        <v>0</v>
      </c>
    </row>
    <row r="48" spans="1:11">
      <c r="A48" s="5"/>
      <c r="B48" s="40" t="s">
        <v>110</v>
      </c>
      <c r="C48" s="10" t="s">
        <v>96</v>
      </c>
      <c r="D48" s="41" t="e">
        <f>IF(OR(D42="nd",D43="nd",D44="nd",D45="nd",D46="nd",D47="nd"),"nd",SUMPRODUCT($D$42:$D$47,($D$42:$D$47&lt;&gt;"NA")*1))</f>
        <v>#VALUE!</v>
      </c>
      <c r="E48" s="41" t="e">
        <f>IF(OR(E42="nd",E43="nd",E44="nd",E45="nd",E46="nd",E47="nd"),"nd",SUMPRODUCT($E$42:$E$47,($E$42:$E$47&lt;&gt;"NA")*1))</f>
        <v>#VALUE!</v>
      </c>
      <c r="F48" s="41" t="e">
        <f>IF(OR(F42="nd",F43="nd",F44="nd",F45="nd",F46="nd",F47="nd"),"nd",SUMPRODUCT($F$42:$F$47,($F$42:$F$47&lt;&gt;"NA")*1))</f>
        <v>#VALUE!</v>
      </c>
      <c r="G48" s="41" t="e">
        <f>IF(OR(G42="nd",G43="nd",G44="nd",G45="nd",G46="nd",G47="nd"),"nd",SUMPRODUCT($G$42:$G$47,($G$42:$G$47&lt;&gt;"NA")*1))</f>
        <v>#VALUE!</v>
      </c>
      <c r="H48" s="41" t="e">
        <f>IF(OR(H42="nd",H43="nd",H44="nd",H45="nd",H46="nd",H47="nd"),"nd",SUMPRODUCT($H$42:$H$47,($H$42:$H$47&lt;&gt;"NA")*1))</f>
        <v>#VALUE!</v>
      </c>
      <c r="I48" s="41" t="e">
        <f>IF(OR(I42="nd",I43="nd",I44="nd",I45="nd",I46="nd",I47="nd"),"nd",SUMPRODUCT($I$42:$I$47,($I$42:$I$47&lt;&gt;"NA")*1))</f>
        <v>#VALUE!</v>
      </c>
      <c r="J48" s="41" t="e">
        <f>IF(OR(J42="nd",J43="nd",J44="nd",J45="nd",J46="nd",J47="nd"),"nd",SUMPRODUCT($J$42:$J$47,($J$42:$J$47&lt;&gt;"NA")*1))</f>
        <v>#VALUE!</v>
      </c>
      <c r="K48" s="41">
        <f>IF(OR(K42="nd",K43="nd",K44="nd",K45="nd",K46="nd",K47="nd"),"nd",SUMPRODUCT(K42:K47,(K42:K47&lt;&gt;"NA")*1))</f>
        <v>17.350000000000001</v>
      </c>
    </row>
    <row r="49" spans="1:11">
      <c r="A49" s="5">
        <v>2.12</v>
      </c>
      <c r="B49" s="38" t="s">
        <v>111</v>
      </c>
      <c r="C49" s="10" t="s">
        <v>96</v>
      </c>
      <c r="D49" s="61"/>
      <c r="E49" s="61" t="s">
        <v>112</v>
      </c>
      <c r="F49" s="422">
        <v>1.536</v>
      </c>
      <c r="G49" s="422">
        <v>6.7</v>
      </c>
      <c r="H49" s="422">
        <v>8.75</v>
      </c>
      <c r="I49" s="422">
        <v>8</v>
      </c>
      <c r="J49" s="422">
        <v>6.6</v>
      </c>
      <c r="K49" s="422">
        <v>5.15</v>
      </c>
    </row>
    <row r="50" spans="1:11">
      <c r="A50" s="5">
        <v>2.13</v>
      </c>
      <c r="B50" s="38" t="s">
        <v>113</v>
      </c>
      <c r="C50" s="10" t="s">
        <v>96</v>
      </c>
      <c r="D50" s="61"/>
      <c r="E50" s="61"/>
      <c r="F50" s="422">
        <v>0</v>
      </c>
      <c r="G50" s="422">
        <v>0</v>
      </c>
      <c r="H50" s="422">
        <v>0</v>
      </c>
      <c r="I50" s="422">
        <v>0</v>
      </c>
      <c r="J50" s="422">
        <v>0</v>
      </c>
      <c r="K50" s="422">
        <v>0</v>
      </c>
    </row>
    <row r="51" spans="1:11">
      <c r="A51" s="433"/>
      <c r="B51" s="433"/>
      <c r="C51" s="433"/>
      <c r="D51" s="433"/>
      <c r="E51" s="433"/>
      <c r="F51" s="55"/>
      <c r="G51" s="55"/>
      <c r="H51" s="55"/>
      <c r="I51" s="55"/>
      <c r="J51" s="55"/>
      <c r="K51" s="55"/>
    </row>
    <row r="52" spans="1:11">
      <c r="A52" s="51">
        <v>3</v>
      </c>
      <c r="B52" s="52" t="s">
        <v>114</v>
      </c>
      <c r="C52" s="33" t="s">
        <v>16</v>
      </c>
      <c r="D52" s="53" t="e">
        <f t="shared" ref="D52:K52" si="3">IF(OR(D53="nd",D54="nd"),"nd",(D53-D54)*100/D53)</f>
        <v>#VALUE!</v>
      </c>
      <c r="E52" s="53" t="e">
        <f t="shared" si="3"/>
        <v>#VALUE!</v>
      </c>
      <c r="F52" s="53" t="e">
        <f t="shared" si="3"/>
        <v>#VALUE!</v>
      </c>
      <c r="G52" s="53" t="e">
        <f t="shared" si="3"/>
        <v>#VALUE!</v>
      </c>
      <c r="H52" s="53" t="e">
        <f t="shared" si="3"/>
        <v>#VALUE!</v>
      </c>
      <c r="I52" s="53" t="e">
        <f t="shared" si="3"/>
        <v>#VALUE!</v>
      </c>
      <c r="J52" s="53" t="e">
        <f t="shared" si="3"/>
        <v>#VALUE!</v>
      </c>
      <c r="K52" s="53">
        <f t="shared" si="3"/>
        <v>22.888888888888882</v>
      </c>
    </row>
    <row r="53" spans="1:11">
      <c r="A53" s="5">
        <v>3.1</v>
      </c>
      <c r="B53" s="40" t="s">
        <v>115</v>
      </c>
      <c r="C53" s="10" t="s">
        <v>96</v>
      </c>
      <c r="D53" s="56">
        <f t="shared" ref="D53:K53" si="4">D39</f>
        <v>0</v>
      </c>
      <c r="E53" s="56">
        <f t="shared" si="4"/>
        <v>0</v>
      </c>
      <c r="F53" s="56">
        <f t="shared" si="4"/>
        <v>15.5</v>
      </c>
      <c r="G53" s="56">
        <f t="shared" si="4"/>
        <v>15.5</v>
      </c>
      <c r="H53" s="56">
        <f t="shared" si="4"/>
        <v>21.95</v>
      </c>
      <c r="I53" s="56">
        <f t="shared" si="4"/>
        <v>22.5</v>
      </c>
      <c r="J53" s="56">
        <f t="shared" si="4"/>
        <v>22.5</v>
      </c>
      <c r="K53" s="56">
        <f t="shared" si="4"/>
        <v>22.5</v>
      </c>
    </row>
    <row r="54" spans="1:11">
      <c r="A54" s="5">
        <v>3.2</v>
      </c>
      <c r="B54" s="40" t="s">
        <v>116</v>
      </c>
      <c r="C54" s="10" t="s">
        <v>96</v>
      </c>
      <c r="D54" s="56" t="e">
        <f t="shared" ref="D54:K54" si="5">D48</f>
        <v>#VALUE!</v>
      </c>
      <c r="E54" s="56" t="e">
        <f t="shared" si="5"/>
        <v>#VALUE!</v>
      </c>
      <c r="F54" s="56" t="e">
        <f t="shared" si="5"/>
        <v>#VALUE!</v>
      </c>
      <c r="G54" s="56" t="e">
        <f t="shared" si="5"/>
        <v>#VALUE!</v>
      </c>
      <c r="H54" s="56" t="e">
        <f t="shared" si="5"/>
        <v>#VALUE!</v>
      </c>
      <c r="I54" s="56" t="e">
        <f t="shared" si="5"/>
        <v>#VALUE!</v>
      </c>
      <c r="J54" s="56" t="e">
        <f t="shared" si="5"/>
        <v>#VALUE!</v>
      </c>
      <c r="K54" s="56">
        <f t="shared" si="5"/>
        <v>17.350000000000001</v>
      </c>
    </row>
    <row r="55" spans="1:11">
      <c r="A55" s="430"/>
      <c r="B55" s="430"/>
      <c r="C55" s="430"/>
      <c r="D55" s="430"/>
      <c r="E55" s="430"/>
      <c r="F55" s="57"/>
      <c r="G55" s="57"/>
      <c r="H55" s="57"/>
      <c r="I55" s="57"/>
      <c r="J55" s="57"/>
      <c r="K55" s="57"/>
    </row>
    <row r="56" spans="1:11">
      <c r="A56" s="51">
        <v>4</v>
      </c>
      <c r="B56" s="52" t="s">
        <v>117</v>
      </c>
      <c r="C56" s="33" t="s">
        <v>16</v>
      </c>
      <c r="D56" s="58" t="e">
        <f t="shared" ref="D56:I56" si="6">IF(AND(D57="na",D61="na",D65="na"),"na",IF(OR(D57="nd",D61="nd",D65="nd"),"nd",SUM(D57,D61,D65)*100/D66))</f>
        <v>#DIV/0!</v>
      </c>
      <c r="E56" s="58" t="e">
        <f t="shared" si="6"/>
        <v>#DIV/0!</v>
      </c>
      <c r="F56" s="58">
        <f t="shared" si="6"/>
        <v>0</v>
      </c>
      <c r="G56" s="58">
        <f t="shared" si="6"/>
        <v>0</v>
      </c>
      <c r="H56" s="58">
        <f t="shared" si="6"/>
        <v>0</v>
      </c>
      <c r="I56" s="58">
        <f t="shared" si="6"/>
        <v>0</v>
      </c>
      <c r="J56" s="58" t="str">
        <f>IF(AND(J57="na",J61="na",J65="na"),"na",IF(OR(J57="nd",J61="nd",J65="nd"),"nd",SUM(J57,J61,J65)*100/J66))</f>
        <v>na</v>
      </c>
      <c r="K56" s="58" t="str">
        <f>IF(AND(K57="na",K61="na",K65="na"),"na",IF(OR(K57="nd",K61="nd",K65="nd"),"nd",SUM(K57,K61,K65)*100/K66))</f>
        <v>na</v>
      </c>
    </row>
    <row r="57" spans="1:11">
      <c r="A57" s="5">
        <v>4.0999999999999996</v>
      </c>
      <c r="B57" s="38" t="s">
        <v>118</v>
      </c>
      <c r="C57" s="10" t="s">
        <v>19</v>
      </c>
      <c r="D57" s="39"/>
      <c r="E57" s="39"/>
      <c r="F57" s="39"/>
      <c r="G57" s="421">
        <v>0</v>
      </c>
      <c r="H57" s="421">
        <v>0</v>
      </c>
      <c r="I57" s="421">
        <v>0</v>
      </c>
      <c r="J57" s="422" t="s">
        <v>961</v>
      </c>
      <c r="K57" s="422" t="s">
        <v>961</v>
      </c>
    </row>
    <row r="58" spans="1:11">
      <c r="A58" s="5">
        <v>4.2</v>
      </c>
      <c r="B58" s="38" t="s">
        <v>119</v>
      </c>
      <c r="C58" s="10" t="s">
        <v>19</v>
      </c>
      <c r="D58" s="39"/>
      <c r="E58" s="39"/>
      <c r="F58" s="39"/>
      <c r="G58" s="421">
        <v>0</v>
      </c>
      <c r="H58" s="421">
        <v>0</v>
      </c>
      <c r="I58" s="421">
        <v>0</v>
      </c>
      <c r="J58" s="422" t="s">
        <v>961</v>
      </c>
      <c r="K58" s="422" t="s">
        <v>961</v>
      </c>
    </row>
    <row r="59" spans="1:11">
      <c r="A59" s="5">
        <v>4.3</v>
      </c>
      <c r="B59" s="38" t="s">
        <v>120</v>
      </c>
      <c r="C59" s="10" t="s">
        <v>19</v>
      </c>
      <c r="D59" s="39"/>
      <c r="E59" s="39"/>
      <c r="F59" s="421">
        <v>26</v>
      </c>
      <c r="G59" s="421">
        <v>298</v>
      </c>
      <c r="H59" s="421">
        <v>330</v>
      </c>
      <c r="I59" s="421">
        <v>338</v>
      </c>
      <c r="J59" s="421">
        <v>338</v>
      </c>
      <c r="K59" s="421">
        <v>340</v>
      </c>
    </row>
    <row r="60" spans="1:11">
      <c r="A60" s="5"/>
      <c r="B60" s="40" t="s">
        <v>121</v>
      </c>
      <c r="C60" s="10" t="s">
        <v>19</v>
      </c>
      <c r="D60" s="41">
        <f>IF(OR(D57="nd",D58="nd",D59="nd"),"nd",SUM($D$57:$D$59))</f>
        <v>0</v>
      </c>
      <c r="E60" s="41">
        <f>IF(OR(E57="nd",E58="nd",E59="nd"),"nd",SUM($E$57:$E$59))</f>
        <v>0</v>
      </c>
      <c r="F60" s="41">
        <f>IF(OR(F57="nd",F58="nd",F59="nd"),"nd",SUM($F$57:$F$59))</f>
        <v>26</v>
      </c>
      <c r="G60" s="41">
        <f>IF(OR(G57="nd",G58="nd",G59="nd"),"nd",SUM($G$57:$G$59))</f>
        <v>298</v>
      </c>
      <c r="H60" s="41">
        <f>IF(OR(H57="nd",H58="nd",H59="nd"),"nd",SUM($H$57:$H$59))</f>
        <v>330</v>
      </c>
      <c r="I60" s="41">
        <f>IF(OR(I57="nd",I58="nd",I59="nd"),"nd",SUM($I$57:$I$59))</f>
        <v>338</v>
      </c>
      <c r="J60" s="41">
        <f>IF(OR(J57="nd",J58="nd",J59="nd"),"nd",SUM(J57:J59))</f>
        <v>338</v>
      </c>
      <c r="K60" s="41">
        <f>IF(OR(K57="nd",K58="nd",K59="nd"),"nd",SUM(K57:K59))</f>
        <v>340</v>
      </c>
    </row>
    <row r="61" spans="1:11">
      <c r="A61" s="5">
        <v>4.4000000000000004</v>
      </c>
      <c r="B61" s="38" t="s">
        <v>122</v>
      </c>
      <c r="C61" s="10" t="s">
        <v>19</v>
      </c>
      <c r="D61" s="39"/>
      <c r="E61" s="39"/>
      <c r="F61" s="39"/>
      <c r="G61" s="421">
        <v>0</v>
      </c>
      <c r="H61" s="421">
        <v>0</v>
      </c>
      <c r="I61" s="421">
        <v>0</v>
      </c>
      <c r="J61" s="422" t="s">
        <v>961</v>
      </c>
      <c r="K61" s="422" t="s">
        <v>961</v>
      </c>
    </row>
    <row r="62" spans="1:11">
      <c r="A62" s="5">
        <v>4.5</v>
      </c>
      <c r="B62" s="38" t="s">
        <v>123</v>
      </c>
      <c r="C62" s="10" t="s">
        <v>19</v>
      </c>
      <c r="D62" s="39"/>
      <c r="E62" s="39"/>
      <c r="F62" s="39"/>
      <c r="G62" s="421">
        <v>0</v>
      </c>
      <c r="H62" s="421">
        <v>0</v>
      </c>
      <c r="I62" s="421">
        <v>0</v>
      </c>
      <c r="J62" s="422" t="s">
        <v>961</v>
      </c>
      <c r="K62" s="422" t="s">
        <v>961</v>
      </c>
    </row>
    <row r="63" spans="1:11">
      <c r="A63" s="5">
        <v>4.5999999999999996</v>
      </c>
      <c r="B63" s="38" t="s">
        <v>124</v>
      </c>
      <c r="C63" s="10" t="s">
        <v>19</v>
      </c>
      <c r="D63" s="39"/>
      <c r="E63" s="39"/>
      <c r="F63" s="421">
        <v>2400</v>
      </c>
      <c r="G63" s="421">
        <v>2400</v>
      </c>
      <c r="H63" s="421">
        <v>2400</v>
      </c>
      <c r="I63" s="421">
        <v>2400</v>
      </c>
      <c r="J63" s="421">
        <v>2400</v>
      </c>
      <c r="K63" s="421">
        <v>2200</v>
      </c>
    </row>
    <row r="64" spans="1:11">
      <c r="A64" s="5"/>
      <c r="B64" s="40" t="s">
        <v>125</v>
      </c>
      <c r="C64" s="10" t="s">
        <v>19</v>
      </c>
      <c r="D64" s="41">
        <f>IF(OR(D61="nd",D62="nd",D63="nd"),"nd",SUM($D$61:$D$63))</f>
        <v>0</v>
      </c>
      <c r="E64" s="41">
        <f>IF(OR(E61="nd",E62="nd",E63="nd"),"nd",SUM($E$61:$E$63))</f>
        <v>0</v>
      </c>
      <c r="F64" s="41">
        <f>IF(OR(F61="nd",F62="nd",F63="nd"),"nd",SUM($F$61:$F$63))</f>
        <v>2400</v>
      </c>
      <c r="G64" s="41">
        <f>IF(OR(G61="nd",G62="nd",G63="nd"),"nd",SUM($G$61:$G$63))</f>
        <v>2400</v>
      </c>
      <c r="H64" s="41">
        <f>IF(OR(H61="nd",H62="nd",H63="nd"),"nd",SUM($H$61:$H$63))</f>
        <v>2400</v>
      </c>
      <c r="I64" s="41">
        <f>IF(OR(I61="nd",I62="nd",I63="nd"),"nd",SUM($I$61:$I$63))</f>
        <v>2400</v>
      </c>
      <c r="J64" s="41">
        <f>IF(OR(J61="nd",J62="nd",J63="nd"),"nd",SUM(J61:J63))</f>
        <v>2400</v>
      </c>
      <c r="K64" s="41">
        <f>IF(OR(K61="nd",K62="nd",K63="nd"),"nd",SUM(K61:K63))</f>
        <v>2200</v>
      </c>
    </row>
    <row r="65" spans="1:11">
      <c r="A65" s="5"/>
      <c r="B65" s="40" t="s">
        <v>126</v>
      </c>
      <c r="C65" s="10" t="s">
        <v>19</v>
      </c>
      <c r="D65" s="41">
        <f t="shared" ref="D65:I65" si="7">IF(AND(D7="na",D11="na",D15="na",D19="na"),"na",IF(OR(D7="nd",D11="nd",D15="nd",D19="nd"),"nd",SUM(D7,D11,D15,D19)))</f>
        <v>0</v>
      </c>
      <c r="E65" s="41">
        <f t="shared" si="7"/>
        <v>0</v>
      </c>
      <c r="F65" s="41">
        <f t="shared" si="7"/>
        <v>0</v>
      </c>
      <c r="G65" s="41">
        <f t="shared" si="7"/>
        <v>0</v>
      </c>
      <c r="H65" s="41">
        <f t="shared" si="7"/>
        <v>0</v>
      </c>
      <c r="I65" s="41">
        <f t="shared" si="7"/>
        <v>0</v>
      </c>
      <c r="J65" s="41" t="str">
        <f>IF(AND(J7="na",J11="na",J15="na",J19="na"),"na",IF(OR(J7="nd",J11="nd",J15="nd",J19="nd"),"nd",SUM(J7,J11,J15,J19)))</f>
        <v>na</v>
      </c>
      <c r="K65" s="41" t="str">
        <f>IF(AND(K7="na",K11="na",K15="na",K19="na"),"na",IF(OR(K7="nd",K11="nd",K15="nd",K19="nd"),"nd",SUM(K7,K11,K15,K19)))</f>
        <v>na</v>
      </c>
    </row>
    <row r="66" spans="1:11">
      <c r="A66" s="5"/>
      <c r="B66" s="40" t="s">
        <v>127</v>
      </c>
      <c r="C66" s="10" t="s">
        <v>19</v>
      </c>
      <c r="D66" s="41">
        <f t="shared" ref="D66:I66" si="8">IF(OR(D23="nd",D60="nd",D64="nd"),"nd",SUM(D23,D60,D64))</f>
        <v>0</v>
      </c>
      <c r="E66" s="41">
        <f t="shared" si="8"/>
        <v>0</v>
      </c>
      <c r="F66" s="41">
        <f t="shared" si="8"/>
        <v>11471</v>
      </c>
      <c r="G66" s="41">
        <f t="shared" si="8"/>
        <v>11803</v>
      </c>
      <c r="H66" s="41">
        <f t="shared" si="8"/>
        <v>13391</v>
      </c>
      <c r="I66" s="41">
        <f t="shared" si="8"/>
        <v>17231</v>
      </c>
      <c r="J66" s="41">
        <f>IF(OR(J23="nd",J60="nd",J64="nd"),"nd",SUM(J23,J60,J64))</f>
        <v>20826</v>
      </c>
      <c r="K66" s="41">
        <f>IF(OR(K23="nd",K60="nd",K64="nd"),"nd",SUM(K23,K60,K64))</f>
        <v>22894</v>
      </c>
    </row>
    <row r="67" spans="1:11">
      <c r="A67" s="430"/>
      <c r="B67" s="430"/>
      <c r="C67" s="430"/>
      <c r="D67" s="430"/>
      <c r="E67" s="430"/>
      <c r="F67" s="57"/>
      <c r="G67" s="57"/>
      <c r="H67" s="57"/>
      <c r="I67" s="57"/>
      <c r="J67" s="57"/>
      <c r="K67" s="57"/>
    </row>
    <row r="68" spans="1:11">
      <c r="A68" s="51">
        <v>5</v>
      </c>
      <c r="B68" s="52" t="s">
        <v>128</v>
      </c>
      <c r="C68" s="33" t="s">
        <v>129</v>
      </c>
      <c r="D68" s="59">
        <f t="shared" ref="D68:K68" si="9">IF(OR(D70="nd",D71="nd"),"nd",D71*D70/30)</f>
        <v>0</v>
      </c>
      <c r="E68" s="59">
        <f t="shared" si="9"/>
        <v>0</v>
      </c>
      <c r="F68" s="59">
        <f t="shared" si="9"/>
        <v>2</v>
      </c>
      <c r="G68" s="59">
        <f t="shared" si="9"/>
        <v>2</v>
      </c>
      <c r="H68" s="59">
        <f t="shared" si="9"/>
        <v>2</v>
      </c>
      <c r="I68" s="59">
        <f t="shared" si="9"/>
        <v>2</v>
      </c>
      <c r="J68" s="59">
        <f t="shared" si="9"/>
        <v>2</v>
      </c>
      <c r="K68" s="59">
        <f t="shared" si="9"/>
        <v>2</v>
      </c>
    </row>
    <row r="69" spans="1:11">
      <c r="A69" s="44"/>
      <c r="B69" s="36" t="s">
        <v>130</v>
      </c>
      <c r="C69" s="45" t="s">
        <v>4</v>
      </c>
      <c r="D69" s="45" t="str">
        <f>'General Info'!D4</f>
        <v>FY 2008-2009</v>
      </c>
      <c r="E69" s="45" t="str">
        <f>'General Info'!E4</f>
        <v>FY 2009-2010</v>
      </c>
      <c r="F69" s="45" t="str">
        <f>'General Info'!F4</f>
        <v>FY 2010-2011</v>
      </c>
      <c r="G69" s="45" t="str">
        <f>'General Info'!G4</f>
        <v>FY 2011-2012</v>
      </c>
      <c r="H69" s="45" t="str">
        <f>'General Info'!H4</f>
        <v>FY 2012-2013</v>
      </c>
      <c r="I69" s="45" t="str">
        <f>'General Info'!I4</f>
        <v>FY 2013-2014</v>
      </c>
      <c r="J69" s="45" t="str">
        <f>'General Info'!J4</f>
        <v>FY 2014-2015</v>
      </c>
      <c r="K69" s="45" t="str">
        <f>'General Info'!K4</f>
        <v>FY 2015-2016</v>
      </c>
    </row>
    <row r="70" spans="1:11">
      <c r="A70" s="5">
        <v>5.0999999999999996</v>
      </c>
      <c r="B70" s="38" t="s">
        <v>131</v>
      </c>
      <c r="C70" s="10" t="s">
        <v>19</v>
      </c>
      <c r="D70" s="39"/>
      <c r="E70" s="39"/>
      <c r="F70" s="421">
        <v>30</v>
      </c>
      <c r="G70" s="421">
        <v>30</v>
      </c>
      <c r="H70" s="421">
        <v>30</v>
      </c>
      <c r="I70" s="421">
        <v>30</v>
      </c>
      <c r="J70" s="421">
        <v>30</v>
      </c>
      <c r="K70" s="421">
        <v>30</v>
      </c>
    </row>
    <row r="71" spans="1:11">
      <c r="A71" s="5">
        <v>5.2</v>
      </c>
      <c r="B71" s="38" t="s">
        <v>132</v>
      </c>
      <c r="C71" s="10" t="s">
        <v>133</v>
      </c>
      <c r="D71" s="39"/>
      <c r="E71" s="39"/>
      <c r="F71" s="422">
        <v>2</v>
      </c>
      <c r="G71" s="422">
        <v>2</v>
      </c>
      <c r="H71" s="422">
        <v>2</v>
      </c>
      <c r="I71" s="422">
        <v>2</v>
      </c>
      <c r="J71" s="422">
        <v>2</v>
      </c>
      <c r="K71" s="422">
        <v>2</v>
      </c>
    </row>
    <row r="72" spans="1:11">
      <c r="A72" s="430"/>
      <c r="B72" s="430"/>
      <c r="C72" s="430"/>
      <c r="D72" s="430"/>
      <c r="E72" s="430"/>
      <c r="F72" s="57"/>
      <c r="G72" s="57"/>
      <c r="H72" s="57"/>
      <c r="I72" s="57"/>
      <c r="J72" s="57"/>
      <c r="K72" s="57"/>
    </row>
    <row r="73" spans="1:11">
      <c r="A73" s="51">
        <v>6</v>
      </c>
      <c r="B73" s="52" t="s">
        <v>134</v>
      </c>
      <c r="C73" s="33" t="s">
        <v>16</v>
      </c>
      <c r="D73" s="58" t="e">
        <f t="shared" ref="D73:K73" si="10">IF(OR(D75="nd",D76="nd"),"nd",D76*100/D75)</f>
        <v>#DIV/0!</v>
      </c>
      <c r="E73" s="58" t="e">
        <f t="shared" si="10"/>
        <v>#DIV/0!</v>
      </c>
      <c r="F73" s="58">
        <f t="shared" si="10"/>
        <v>88.888888888888886</v>
      </c>
      <c r="G73" s="58">
        <f t="shared" si="10"/>
        <v>90.721649484536087</v>
      </c>
      <c r="H73" s="58">
        <f t="shared" si="10"/>
        <v>90</v>
      </c>
      <c r="I73" s="58">
        <f t="shared" si="10"/>
        <v>91.489361702127653</v>
      </c>
      <c r="J73" s="58">
        <f t="shared" si="10"/>
        <v>91.481481481481481</v>
      </c>
      <c r="K73" s="58">
        <f t="shared" si="10"/>
        <v>91.478260869565219</v>
      </c>
    </row>
    <row r="74" spans="1:11">
      <c r="A74" s="44"/>
      <c r="B74" s="36" t="s">
        <v>135</v>
      </c>
      <c r="C74" s="45" t="s">
        <v>4</v>
      </c>
      <c r="D74" s="45" t="str">
        <f>'General Info'!D4</f>
        <v>FY 2008-2009</v>
      </c>
      <c r="E74" s="45" t="str">
        <f>'General Info'!E4</f>
        <v>FY 2009-2010</v>
      </c>
      <c r="F74" s="45" t="str">
        <f>'General Info'!F4</f>
        <v>FY 2010-2011</v>
      </c>
      <c r="G74" s="45" t="str">
        <f>'General Info'!G4</f>
        <v>FY 2011-2012</v>
      </c>
      <c r="H74" s="45" t="str">
        <f>'General Info'!H4</f>
        <v>FY 2012-2013</v>
      </c>
      <c r="I74" s="45" t="str">
        <f>'General Info'!I4</f>
        <v>FY 2013-2014</v>
      </c>
      <c r="J74" s="45" t="str">
        <f>'General Info'!J4</f>
        <v>FY 2014-2015</v>
      </c>
      <c r="K74" s="45" t="str">
        <f>'General Info'!K4</f>
        <v>FY 2015-2016</v>
      </c>
    </row>
    <row r="75" spans="1:11">
      <c r="A75" s="5">
        <v>6.1</v>
      </c>
      <c r="B75" s="60" t="s">
        <v>136</v>
      </c>
      <c r="C75" s="10" t="s">
        <v>19</v>
      </c>
      <c r="D75" s="61"/>
      <c r="E75" s="61"/>
      <c r="F75" s="421">
        <v>900</v>
      </c>
      <c r="G75" s="421">
        <v>970</v>
      </c>
      <c r="H75" s="421">
        <v>1120</v>
      </c>
      <c r="I75" s="421">
        <v>940</v>
      </c>
      <c r="J75" s="421">
        <v>1080</v>
      </c>
      <c r="K75" s="421">
        <v>1150</v>
      </c>
    </row>
    <row r="76" spans="1:11">
      <c r="A76" s="5">
        <v>6.2</v>
      </c>
      <c r="B76" s="60" t="s">
        <v>137</v>
      </c>
      <c r="C76" s="10" t="s">
        <v>19</v>
      </c>
      <c r="D76" s="61"/>
      <c r="E76" s="61"/>
      <c r="F76" s="421">
        <v>800</v>
      </c>
      <c r="G76" s="421">
        <v>880</v>
      </c>
      <c r="H76" s="421">
        <v>1008</v>
      </c>
      <c r="I76" s="421">
        <v>860</v>
      </c>
      <c r="J76" s="421">
        <v>988</v>
      </c>
      <c r="K76" s="421">
        <v>1052</v>
      </c>
    </row>
    <row r="77" spans="1:11">
      <c r="A77" s="430"/>
      <c r="B77" s="430"/>
      <c r="C77" s="430"/>
      <c r="D77" s="430"/>
      <c r="E77" s="430"/>
      <c r="F77" s="57"/>
      <c r="G77" s="57"/>
      <c r="H77" s="57"/>
      <c r="I77" s="57"/>
      <c r="J77" s="57"/>
      <c r="K77" s="57"/>
    </row>
    <row r="78" spans="1:11">
      <c r="A78" s="51">
        <v>7</v>
      </c>
      <c r="B78" s="62" t="s">
        <v>138</v>
      </c>
      <c r="C78" s="63"/>
      <c r="D78" s="58" t="e">
        <f t="shared" ref="D78:K78" si="11">IF(OR(D99="nd",D98="nd"),"nd",D99*100/D98)</f>
        <v>#DIV/0!</v>
      </c>
      <c r="E78" s="58" t="e">
        <f t="shared" si="11"/>
        <v>#DIV/0!</v>
      </c>
      <c r="F78" s="58">
        <f t="shared" si="11"/>
        <v>100</v>
      </c>
      <c r="G78" s="58">
        <f t="shared" si="11"/>
        <v>100</v>
      </c>
      <c r="H78" s="58">
        <f t="shared" si="11"/>
        <v>100</v>
      </c>
      <c r="I78" s="58">
        <f t="shared" si="11"/>
        <v>100</v>
      </c>
      <c r="J78" s="58">
        <f t="shared" si="11"/>
        <v>100</v>
      </c>
      <c r="K78" s="58">
        <f t="shared" si="11"/>
        <v>100</v>
      </c>
    </row>
    <row r="79" spans="1:11">
      <c r="A79" s="35"/>
      <c r="B79" s="36" t="s">
        <v>139</v>
      </c>
      <c r="C79" s="45" t="s">
        <v>4</v>
      </c>
      <c r="D79" s="45" t="str">
        <f>'General Info'!D4</f>
        <v>FY 2008-2009</v>
      </c>
      <c r="E79" s="45" t="str">
        <f>'General Info'!E4</f>
        <v>FY 2009-2010</v>
      </c>
      <c r="F79" s="45" t="str">
        <f>'General Info'!F4</f>
        <v>FY 2010-2011</v>
      </c>
      <c r="G79" s="45" t="str">
        <f>'General Info'!G4</f>
        <v>FY 2011-2012</v>
      </c>
      <c r="H79" s="45" t="str">
        <f>'General Info'!H4</f>
        <v>FY 2012-2013</v>
      </c>
      <c r="I79" s="45" t="str">
        <f>'General Info'!I4</f>
        <v>FY 2013-2014</v>
      </c>
      <c r="J79" s="45" t="str">
        <f>'General Info'!J4</f>
        <v>FY 2014-2015</v>
      </c>
      <c r="K79" s="45" t="str">
        <f>'General Info'!K4</f>
        <v>FY 2015-2016</v>
      </c>
    </row>
    <row r="80" spans="1:11" ht="25.5">
      <c r="A80" s="5">
        <v>7.1</v>
      </c>
      <c r="B80" s="64" t="s">
        <v>140</v>
      </c>
      <c r="C80" s="10" t="s">
        <v>19</v>
      </c>
      <c r="D80" s="61"/>
      <c r="E80" s="61"/>
      <c r="F80" s="421">
        <v>300</v>
      </c>
      <c r="G80" s="421">
        <v>300</v>
      </c>
      <c r="H80" s="421">
        <v>300</v>
      </c>
      <c r="I80" s="421">
        <v>365</v>
      </c>
      <c r="J80" s="421">
        <v>365</v>
      </c>
      <c r="K80" s="421">
        <v>365</v>
      </c>
    </row>
    <row r="81" spans="1:11">
      <c r="A81" s="5">
        <v>7.2</v>
      </c>
      <c r="B81" s="65" t="s">
        <v>141</v>
      </c>
      <c r="C81" s="10" t="s">
        <v>19</v>
      </c>
      <c r="D81" s="61"/>
      <c r="E81" s="61"/>
      <c r="F81" s="421">
        <v>20</v>
      </c>
      <c r="G81" s="421">
        <v>20</v>
      </c>
      <c r="H81" s="421">
        <v>20</v>
      </c>
      <c r="I81" s="421">
        <v>50</v>
      </c>
      <c r="J81" s="421">
        <v>50</v>
      </c>
      <c r="K81" s="421">
        <v>50</v>
      </c>
    </row>
    <row r="82" spans="1:11">
      <c r="A82" s="5">
        <v>7.3</v>
      </c>
      <c r="B82" s="65" t="s">
        <v>142</v>
      </c>
      <c r="C82" s="10" t="s">
        <v>19</v>
      </c>
      <c r="D82" s="61"/>
      <c r="E82" s="61"/>
      <c r="F82" s="61"/>
      <c r="G82" s="61"/>
      <c r="H82" s="421">
        <v>20</v>
      </c>
      <c r="I82" s="421">
        <v>50</v>
      </c>
      <c r="J82" s="421">
        <v>50</v>
      </c>
      <c r="K82" s="421">
        <v>50</v>
      </c>
    </row>
    <row r="83" spans="1:11" ht="25.5">
      <c r="A83" s="5">
        <v>7.4</v>
      </c>
      <c r="B83" s="66" t="s">
        <v>143</v>
      </c>
      <c r="C83" s="10" t="s">
        <v>19</v>
      </c>
      <c r="D83" s="61"/>
      <c r="E83" s="61"/>
      <c r="F83" s="61"/>
      <c r="G83" s="61"/>
      <c r="H83" s="61"/>
      <c r="I83" s="61"/>
      <c r="J83" s="61"/>
      <c r="K83" s="61"/>
    </row>
    <row r="84" spans="1:11">
      <c r="A84" s="5"/>
      <c r="B84" s="40" t="s">
        <v>144</v>
      </c>
      <c r="C84" s="10" t="s">
        <v>19</v>
      </c>
      <c r="D84" s="67">
        <f>IF(SUM(D80:D82)&gt;0,SUM(D80:D82),D83)</f>
        <v>0</v>
      </c>
      <c r="E84" s="67">
        <f>IF(OR(E80="nd",E81="nd",E82="nd",E83="nd"),"nd",IF(SUM($E$80:$E$82)&gt;0,SUM($E$80:$E$82),E83))</f>
        <v>0</v>
      </c>
      <c r="F84" s="67">
        <f>IF(OR(F80="nd",F81="nd",F82="nd",F83="nd"),"nd",IF(SUM($F$80:$F$82)&gt;0,SUM($F$80:$F$82),F83))</f>
        <v>320</v>
      </c>
      <c r="G84" s="67">
        <f>IF(OR(G80="nd",G81="nd",G82="nd",G83="nd"),"nd",IF(SUM($G$80:$G$82)&gt;0,SUM($G$80:$G$82),G83))</f>
        <v>320</v>
      </c>
      <c r="H84" s="67">
        <f>IF(OR(H80="nd",H81="nd",H82="nd",H83="nd"),"nd",IF(SUM($H$80:$H$82)&gt;0,SUM($H$80:$H$82),H83))</f>
        <v>340</v>
      </c>
      <c r="I84" s="67">
        <f>IF(OR(I80="nd",I81="nd",I82="nd",I83="nd"),"nd",IF(SUM($I$80:$I$82)&gt;0,SUM($I$80:$I$82),I83))</f>
        <v>465</v>
      </c>
      <c r="J84" s="67">
        <f>IF(OR(J80="nd",J81="nd",J82="nd",J83="nd"),"nd",IF(SUM($J$80:$J$82)&gt;0,SUM($J$80:$J$82),J83))</f>
        <v>465</v>
      </c>
      <c r="K84" s="67">
        <f>IF(OR(K80="nd",K81="nd",K82="nd",K83="nd"),"nd",IF(SUM(K80:K82)&gt;0,SUM(K80:K82),K83))</f>
        <v>465</v>
      </c>
    </row>
    <row r="85" spans="1:11">
      <c r="A85" s="5">
        <v>7.5</v>
      </c>
      <c r="B85" s="38" t="s">
        <v>145</v>
      </c>
      <c r="C85" s="10" t="s">
        <v>19</v>
      </c>
      <c r="D85" s="61"/>
      <c r="E85" s="61"/>
      <c r="F85" s="421">
        <v>320</v>
      </c>
      <c r="G85" s="421">
        <v>320</v>
      </c>
      <c r="H85" s="421">
        <v>340</v>
      </c>
      <c r="I85" s="421">
        <v>465</v>
      </c>
      <c r="J85" s="421">
        <v>465</v>
      </c>
      <c r="K85" s="421">
        <v>465</v>
      </c>
    </row>
    <row r="86" spans="1:11" ht="25.5">
      <c r="A86" s="5">
        <v>7.6</v>
      </c>
      <c r="B86" s="64" t="s">
        <v>146</v>
      </c>
      <c r="C86" s="10" t="s">
        <v>19</v>
      </c>
      <c r="D86" s="61"/>
      <c r="E86" s="61"/>
      <c r="F86" s="421">
        <v>300</v>
      </c>
      <c r="G86" s="421">
        <v>300</v>
      </c>
      <c r="H86" s="421">
        <v>300</v>
      </c>
      <c r="I86" s="421">
        <v>365</v>
      </c>
      <c r="J86" s="421">
        <v>365</v>
      </c>
      <c r="K86" s="421">
        <v>365</v>
      </c>
    </row>
    <row r="87" spans="1:11">
      <c r="A87" s="5">
        <v>7.7</v>
      </c>
      <c r="B87" s="65" t="s">
        <v>147</v>
      </c>
      <c r="C87" s="10" t="s">
        <v>19</v>
      </c>
      <c r="D87" s="61"/>
      <c r="E87" s="61"/>
      <c r="F87" s="421">
        <v>20</v>
      </c>
      <c r="G87" s="421">
        <v>20</v>
      </c>
      <c r="H87" s="421">
        <v>20</v>
      </c>
      <c r="I87" s="421">
        <v>50</v>
      </c>
      <c r="J87" s="421">
        <v>50</v>
      </c>
      <c r="K87" s="421">
        <v>50</v>
      </c>
    </row>
    <row r="88" spans="1:11">
      <c r="A88" s="5">
        <v>7.8</v>
      </c>
      <c r="B88" s="65" t="s">
        <v>148</v>
      </c>
      <c r="C88" s="10" t="s">
        <v>19</v>
      </c>
      <c r="D88" s="61"/>
      <c r="E88" s="61"/>
      <c r="F88" s="61"/>
      <c r="G88" s="61"/>
      <c r="H88" s="421">
        <v>20</v>
      </c>
      <c r="I88" s="421">
        <v>50</v>
      </c>
      <c r="J88" s="421">
        <v>50</v>
      </c>
      <c r="K88" s="421">
        <v>50</v>
      </c>
    </row>
    <row r="89" spans="1:11" ht="25.5">
      <c r="A89" s="5">
        <v>7.9</v>
      </c>
      <c r="B89" s="66" t="s">
        <v>149</v>
      </c>
      <c r="C89" s="10" t="s">
        <v>19</v>
      </c>
      <c r="D89" s="61"/>
      <c r="E89" s="61"/>
      <c r="F89" s="61"/>
      <c r="G89" s="61"/>
      <c r="H89" s="61"/>
      <c r="I89" s="61"/>
      <c r="J89" s="61"/>
      <c r="K89" s="61"/>
    </row>
    <row r="90" spans="1:11">
      <c r="A90" s="5"/>
      <c r="B90" s="40" t="s">
        <v>150</v>
      </c>
      <c r="C90" s="10" t="s">
        <v>19</v>
      </c>
      <c r="D90" s="67">
        <f>IF(SUM(D86:D88)&gt;0,SUM(D86:D88),D89)</f>
        <v>0</v>
      </c>
      <c r="E90" s="67">
        <f>IF(OR(E86="nd",E87="nd",E88="nd",E89="nd"),"nd",IF(SUM($E$86:$E$88)&gt;0,SUM($E$86:$E$88),E89))</f>
        <v>0</v>
      </c>
      <c r="F90" s="67">
        <f>IF(OR(F86="nd",F87="nd",F88="nd",F89="nd"),"nd",IF(SUM($F$86:$F$88)&gt;0,SUM($F$86:$F$88),F89))</f>
        <v>320</v>
      </c>
      <c r="G90" s="67">
        <f>IF(OR(G86="nd",G87="nd",G88="nd",G89="nd"),"nd",IF(SUM($G$86:$G$88)&gt;0,SUM($G$86:$G$88),G89))</f>
        <v>320</v>
      </c>
      <c r="H90" s="67">
        <f>IF(OR(H86="nd",H87="nd",H88="nd",H89="nd"),"nd",IF(SUM($H$86:$H$88)&gt;0,SUM($H$86:$H$88),H89))</f>
        <v>340</v>
      </c>
      <c r="I90" s="67">
        <f>IF(OR(I86="nd",I87="nd",I88="nd",I89="nd"),"nd",IF(SUM($I$86:$I$88)&gt;0,SUM($I$86:$I$88),I89))</f>
        <v>465</v>
      </c>
      <c r="J90" s="67">
        <f>IF(OR(J86="nd",J87="nd",J88="nd",J89="nd"),"nd",IF(SUM($J$86:$J$88)&gt;0,SUM($J$86:$J$88),J89))</f>
        <v>465</v>
      </c>
      <c r="K90" s="67">
        <f>IF(OR(K86="nd",K87="nd",K88="nd",K89="nd"),"nd",IF(SUM(K86:K88)&gt;0,SUM(K86:K88),K89))</f>
        <v>465</v>
      </c>
    </row>
    <row r="91" spans="1:11">
      <c r="A91" s="272">
        <v>7.1</v>
      </c>
      <c r="B91" s="38" t="s">
        <v>145</v>
      </c>
      <c r="C91" s="10" t="s">
        <v>19</v>
      </c>
      <c r="D91" s="61"/>
      <c r="E91" s="61"/>
      <c r="F91" s="421">
        <v>320</v>
      </c>
      <c r="G91" s="421">
        <v>320</v>
      </c>
      <c r="H91" s="421">
        <v>340</v>
      </c>
      <c r="I91" s="421">
        <v>465</v>
      </c>
      <c r="J91" s="421">
        <v>465</v>
      </c>
      <c r="K91" s="421">
        <v>465</v>
      </c>
    </row>
    <row r="92" spans="1:11" ht="25.5">
      <c r="A92" s="5">
        <v>7.11</v>
      </c>
      <c r="B92" s="64" t="s">
        <v>151</v>
      </c>
      <c r="C92" s="10" t="s">
        <v>19</v>
      </c>
      <c r="D92" s="61"/>
      <c r="E92" s="61"/>
      <c r="F92" s="421">
        <v>30</v>
      </c>
      <c r="G92" s="421">
        <v>30</v>
      </c>
      <c r="H92" s="421">
        <v>30</v>
      </c>
      <c r="I92" s="421">
        <v>50</v>
      </c>
      <c r="J92" s="421">
        <v>50</v>
      </c>
      <c r="K92" s="421">
        <v>50</v>
      </c>
    </row>
    <row r="93" spans="1:11">
      <c r="A93" s="272">
        <v>7.12</v>
      </c>
      <c r="B93" s="65" t="s">
        <v>152</v>
      </c>
      <c r="C93" s="10" t="s">
        <v>19</v>
      </c>
      <c r="D93" s="61"/>
      <c r="E93" s="61"/>
      <c r="F93" s="421">
        <v>12</v>
      </c>
      <c r="G93" s="421">
        <v>12</v>
      </c>
      <c r="H93" s="421">
        <v>12</v>
      </c>
      <c r="I93" s="421">
        <v>15</v>
      </c>
      <c r="J93" s="421">
        <v>20</v>
      </c>
      <c r="K93" s="421">
        <v>20</v>
      </c>
    </row>
    <row r="94" spans="1:11">
      <c r="A94" s="5">
        <v>7.13</v>
      </c>
      <c r="B94" s="65" t="s">
        <v>153</v>
      </c>
      <c r="C94" s="10" t="s">
        <v>19</v>
      </c>
      <c r="D94" s="61"/>
      <c r="E94" s="61"/>
      <c r="F94" s="61"/>
      <c r="G94" s="61"/>
      <c r="H94" s="61"/>
      <c r="I94" s="421">
        <v>0</v>
      </c>
      <c r="J94" s="421">
        <v>20</v>
      </c>
      <c r="K94" s="421">
        <v>20</v>
      </c>
    </row>
    <row r="95" spans="1:11" ht="25.5">
      <c r="A95" s="272">
        <v>7.14</v>
      </c>
      <c r="B95" s="66" t="s">
        <v>154</v>
      </c>
      <c r="C95" s="10" t="s">
        <v>19</v>
      </c>
      <c r="D95" s="61"/>
      <c r="E95" s="61"/>
      <c r="F95" s="61"/>
      <c r="G95" s="61"/>
      <c r="H95" s="61"/>
      <c r="I95" s="61"/>
      <c r="J95" s="61"/>
      <c r="K95" s="61"/>
    </row>
    <row r="96" spans="1:11">
      <c r="A96" s="5"/>
      <c r="B96" s="40" t="s">
        <v>155</v>
      </c>
      <c r="C96" s="10" t="s">
        <v>19</v>
      </c>
      <c r="D96" s="67">
        <f>IF(SUM(D92:D94)&gt;0,SUM(D92:D94),D95)</f>
        <v>0</v>
      </c>
      <c r="E96" s="67">
        <f>IF(OR(E92="nd",E93="nd",E94="nd",E95="nd"),"nd",IF(SUM($E$92:$E$94)&gt;0,SUM($E$92:$E$94),E95))</f>
        <v>0</v>
      </c>
      <c r="F96" s="67">
        <f>IF(OR(F92="nd",F93="nd",F94="nd",F95="nd"),"nd",IF(SUM($F$92:$F$94)&gt;0,SUM($F$92:$F$94),F95))</f>
        <v>42</v>
      </c>
      <c r="G96" s="67">
        <f>IF(OR(G92="nd",G93="nd",G94="nd",G95="nd"),"nd",IF(SUM($G$92:$G$94)&gt;0,SUM($G$92:$G$94),G95))</f>
        <v>42</v>
      </c>
      <c r="H96" s="67">
        <f>IF(OR(H92="nd",H93="nd",H94="nd",H95="nd"),"nd",IF(SUM($H$92:$H$94)&gt;0,SUM($H$92:$H$94),H95))</f>
        <v>42</v>
      </c>
      <c r="I96" s="67">
        <f>IF(OR(I92="nd",I93="nd",I94="nd",I95="nd"),"nd",IF(SUM($I$92:$I$94)&gt;0,SUM($I$92:$I$94),I95))</f>
        <v>65</v>
      </c>
      <c r="J96" s="67">
        <f>IF(OR(J92="nd",J93="nd",J94="nd",J95="nd"),"nd",IF(SUM($J$92:$J$94)&gt;0,SUM($J$92:$J$94),J95))</f>
        <v>90</v>
      </c>
      <c r="K96" s="67">
        <f>IF(OR(K92="nd",K93="nd",K94="nd",K95="nd"),"nd",IF(SUM(K92:K94)&gt;0,SUM(K92:K94),K95))</f>
        <v>90</v>
      </c>
    </row>
    <row r="97" spans="1:11">
      <c r="A97" s="5">
        <v>7.15</v>
      </c>
      <c r="B97" s="38" t="s">
        <v>145</v>
      </c>
      <c r="C97" s="10" t="s">
        <v>19</v>
      </c>
      <c r="D97" s="61"/>
      <c r="E97" s="61"/>
      <c r="F97" s="421">
        <v>42</v>
      </c>
      <c r="G97" s="421">
        <v>42</v>
      </c>
      <c r="H97" s="421">
        <v>42</v>
      </c>
      <c r="I97" s="421">
        <v>65</v>
      </c>
      <c r="J97" s="421">
        <v>90</v>
      </c>
      <c r="K97" s="421">
        <v>90</v>
      </c>
    </row>
    <row r="98" spans="1:11">
      <c r="A98" s="5"/>
      <c r="B98" s="40" t="s">
        <v>156</v>
      </c>
      <c r="C98" s="10" t="s">
        <v>19</v>
      </c>
      <c r="D98" s="67">
        <f>D84+D90+D96</f>
        <v>0</v>
      </c>
      <c r="E98" s="67">
        <f t="shared" ref="E98:H99" si="12">IF(OR(E84="nd",E90="nd",E96="nd"),"nd",SUM(E84,E90,E96))</f>
        <v>0</v>
      </c>
      <c r="F98" s="67">
        <f t="shared" si="12"/>
        <v>682</v>
      </c>
      <c r="G98" s="67">
        <f t="shared" si="12"/>
        <v>682</v>
      </c>
      <c r="H98" s="67">
        <f t="shared" si="12"/>
        <v>722</v>
      </c>
      <c r="I98" s="67">
        <f t="shared" ref="I98:K99" si="13">IF(OR(I84="nd",I90="nd",I96="nd"),"nd",SUM(I84,I90,I96))</f>
        <v>995</v>
      </c>
      <c r="J98" s="67">
        <f t="shared" si="13"/>
        <v>1020</v>
      </c>
      <c r="K98" s="67">
        <f t="shared" si="13"/>
        <v>1020</v>
      </c>
    </row>
    <row r="99" spans="1:11">
      <c r="A99" s="5"/>
      <c r="B99" s="40" t="s">
        <v>157</v>
      </c>
      <c r="C99" s="10" t="s">
        <v>19</v>
      </c>
      <c r="D99" s="67">
        <f>D85+D91+D97</f>
        <v>0</v>
      </c>
      <c r="E99" s="67">
        <f t="shared" si="12"/>
        <v>0</v>
      </c>
      <c r="F99" s="67">
        <f t="shared" si="12"/>
        <v>682</v>
      </c>
      <c r="G99" s="67">
        <f t="shared" si="12"/>
        <v>682</v>
      </c>
      <c r="H99" s="67">
        <f t="shared" si="12"/>
        <v>722</v>
      </c>
      <c r="I99" s="67">
        <f t="shared" si="13"/>
        <v>995</v>
      </c>
      <c r="J99" s="67">
        <f t="shared" si="13"/>
        <v>1020</v>
      </c>
      <c r="K99" s="67">
        <f t="shared" si="13"/>
        <v>1020</v>
      </c>
    </row>
    <row r="100" spans="1:11">
      <c r="A100" s="430"/>
      <c r="B100" s="430"/>
      <c r="C100" s="430"/>
      <c r="D100" s="430"/>
      <c r="E100" s="430"/>
      <c r="F100" s="57"/>
      <c r="G100" s="57"/>
      <c r="H100" s="57"/>
      <c r="I100" s="57"/>
      <c r="J100" s="57"/>
      <c r="K100" s="57"/>
    </row>
    <row r="101" spans="1:11">
      <c r="A101" s="51">
        <v>8</v>
      </c>
      <c r="B101" s="51" t="s">
        <v>158</v>
      </c>
      <c r="C101" s="68" t="s">
        <v>16</v>
      </c>
      <c r="D101" s="58" t="e">
        <f t="shared" ref="D101:K101" si="14">IF(OR(D116="nd",D110="nd"),"nd",D116*100/D110)</f>
        <v>#DIV/0!</v>
      </c>
      <c r="E101" s="58" t="e">
        <f t="shared" si="14"/>
        <v>#DIV/0!</v>
      </c>
      <c r="F101" s="58">
        <f t="shared" si="14"/>
        <v>14.346221099669712</v>
      </c>
      <c r="G101" s="58">
        <f t="shared" si="14"/>
        <v>82.60223048327137</v>
      </c>
      <c r="H101" s="58">
        <f t="shared" si="14"/>
        <v>90.736842105263165</v>
      </c>
      <c r="I101" s="58">
        <f t="shared" si="14"/>
        <v>57.224137931034484</v>
      </c>
      <c r="J101" s="58">
        <f t="shared" si="14"/>
        <v>60.731070496083554</v>
      </c>
      <c r="K101" s="58">
        <f t="shared" si="14"/>
        <v>62.157598499061912</v>
      </c>
    </row>
    <row r="102" spans="1:11">
      <c r="A102" s="44"/>
      <c r="B102" s="36" t="s">
        <v>159</v>
      </c>
      <c r="C102" s="45" t="s">
        <v>4</v>
      </c>
      <c r="D102" s="45" t="str">
        <f>'General Info'!D4</f>
        <v>FY 2008-2009</v>
      </c>
      <c r="E102" s="45" t="str">
        <f>'General Info'!E4</f>
        <v>FY 2009-2010</v>
      </c>
      <c r="F102" s="45" t="str">
        <f>'General Info'!F4</f>
        <v>FY 2010-2011</v>
      </c>
      <c r="G102" s="45" t="str">
        <f>'General Info'!G4</f>
        <v>FY 2011-2012</v>
      </c>
      <c r="H102" s="45" t="str">
        <f>'General Info'!H4</f>
        <v>FY 2012-2013</v>
      </c>
      <c r="I102" s="45" t="str">
        <f>'General Info'!I4</f>
        <v>FY 2013-2014</v>
      </c>
      <c r="J102" s="45" t="str">
        <f>'General Info'!J4</f>
        <v>FY 2014-2015</v>
      </c>
      <c r="K102" s="45" t="str">
        <f>'General Info'!K4</f>
        <v>FY 2015-2016</v>
      </c>
    </row>
    <row r="103" spans="1:11">
      <c r="A103" s="5">
        <v>8.1</v>
      </c>
      <c r="B103" s="38" t="s">
        <v>160</v>
      </c>
      <c r="C103" s="10" t="s">
        <v>161</v>
      </c>
      <c r="D103" s="39"/>
      <c r="E103" s="39"/>
      <c r="F103" s="422">
        <v>80.44</v>
      </c>
      <c r="G103" s="422">
        <v>81</v>
      </c>
      <c r="H103" s="422">
        <v>120</v>
      </c>
      <c r="I103" s="422">
        <v>175</v>
      </c>
      <c r="J103" s="422">
        <v>183.75</v>
      </c>
      <c r="K103" s="422">
        <v>193</v>
      </c>
    </row>
    <row r="104" spans="1:11">
      <c r="A104" s="5">
        <v>8.1999999999999993</v>
      </c>
      <c r="B104" s="38" t="s">
        <v>162</v>
      </c>
      <c r="C104" s="10" t="s">
        <v>161</v>
      </c>
      <c r="D104" s="39"/>
      <c r="E104" s="39"/>
      <c r="F104" s="422">
        <v>0</v>
      </c>
      <c r="G104" s="422">
        <v>25</v>
      </c>
      <c r="H104" s="422">
        <v>25</v>
      </c>
      <c r="I104" s="422">
        <v>50</v>
      </c>
      <c r="J104" s="422">
        <v>55</v>
      </c>
      <c r="K104" s="422">
        <v>60</v>
      </c>
    </row>
    <row r="105" spans="1:11">
      <c r="A105" s="5">
        <v>8.3000000000000007</v>
      </c>
      <c r="B105" s="38" t="s">
        <v>163</v>
      </c>
      <c r="C105" s="10" t="s">
        <v>161</v>
      </c>
      <c r="D105" s="39"/>
      <c r="E105" s="39"/>
      <c r="F105" s="422">
        <v>71.64</v>
      </c>
      <c r="G105" s="422">
        <v>75</v>
      </c>
      <c r="H105" s="422">
        <v>65</v>
      </c>
      <c r="I105" s="422">
        <v>144</v>
      </c>
      <c r="J105" s="422">
        <v>150</v>
      </c>
      <c r="K105" s="422">
        <v>180</v>
      </c>
    </row>
    <row r="106" spans="1:11">
      <c r="A106" s="5">
        <v>8.4</v>
      </c>
      <c r="B106" s="38" t="s">
        <v>164</v>
      </c>
      <c r="C106" s="10" t="s">
        <v>161</v>
      </c>
      <c r="D106" s="39"/>
      <c r="E106" s="39"/>
      <c r="F106" s="422">
        <v>73.459999999999994</v>
      </c>
      <c r="G106" s="422">
        <v>43</v>
      </c>
      <c r="H106" s="422">
        <v>30</v>
      </c>
      <c r="I106" s="422">
        <v>55</v>
      </c>
      <c r="J106" s="422">
        <v>55</v>
      </c>
      <c r="K106" s="422">
        <v>65</v>
      </c>
    </row>
    <row r="107" spans="1:11">
      <c r="A107" s="5">
        <v>8.5</v>
      </c>
      <c r="B107" s="38" t="s">
        <v>165</v>
      </c>
      <c r="C107" s="10" t="s">
        <v>161</v>
      </c>
      <c r="D107" s="39"/>
      <c r="E107" s="39"/>
      <c r="F107" s="422">
        <v>19.809999999999999</v>
      </c>
      <c r="G107" s="422">
        <v>35</v>
      </c>
      <c r="H107" s="422">
        <v>35</v>
      </c>
      <c r="I107" s="422">
        <v>30</v>
      </c>
      <c r="J107" s="422">
        <v>25</v>
      </c>
      <c r="K107" s="422">
        <v>25</v>
      </c>
    </row>
    <row r="108" spans="1:11">
      <c r="A108" s="5">
        <v>8.6</v>
      </c>
      <c r="B108" s="38" t="s">
        <v>166</v>
      </c>
      <c r="C108" s="10" t="s">
        <v>161</v>
      </c>
      <c r="D108" s="39"/>
      <c r="E108" s="39"/>
      <c r="F108" s="422">
        <v>12</v>
      </c>
      <c r="G108" s="422">
        <v>10</v>
      </c>
      <c r="H108" s="422">
        <v>10</v>
      </c>
      <c r="I108" s="422">
        <v>10</v>
      </c>
      <c r="J108" s="422">
        <v>10</v>
      </c>
      <c r="K108" s="422">
        <v>10</v>
      </c>
    </row>
    <row r="109" spans="1:11">
      <c r="A109" s="5">
        <v>8.6999999999999993</v>
      </c>
      <c r="B109" s="38" t="s">
        <v>167</v>
      </c>
      <c r="C109" s="10" t="s">
        <v>161</v>
      </c>
      <c r="D109" s="39"/>
      <c r="E109" s="39"/>
      <c r="F109" s="422">
        <v>0</v>
      </c>
      <c r="G109" s="422">
        <v>0</v>
      </c>
      <c r="H109" s="422">
        <v>0</v>
      </c>
      <c r="I109" s="422">
        <v>0</v>
      </c>
      <c r="J109" s="422">
        <v>0</v>
      </c>
      <c r="K109" s="422">
        <v>0</v>
      </c>
    </row>
    <row r="110" spans="1:11">
      <c r="A110" s="5"/>
      <c r="B110" s="69" t="s">
        <v>168</v>
      </c>
      <c r="C110" s="10" t="s">
        <v>161</v>
      </c>
      <c r="D110" s="70">
        <f>IF(OR(D103="nd",D104="nd",D105="nd",D106="nd",D107="nd",D108="nd",D109="nd"),"nd",SUM($D$103:$D$109))</f>
        <v>0</v>
      </c>
      <c r="E110" s="70">
        <f>IF(OR(E103="nd",E104="nd",E105="nd",E106="nd",E107="nd",E108="nd",E109="nd"),"nd",SUM($E$103:$E$109))</f>
        <v>0</v>
      </c>
      <c r="F110" s="70">
        <f>IF(OR(F103="nd",F104="nd",F105="nd",F106="nd",F107="nd",F108="nd",F109="nd"),"nd",SUM($F$103:$F$109))</f>
        <v>257.34999999999997</v>
      </c>
      <c r="G110" s="70">
        <f>IF(OR(G103="nd",G104="nd",G105="nd",G106="nd",G107="nd",G108="nd",G109="nd"),"nd",SUM($G$103:$G$109))</f>
        <v>269</v>
      </c>
      <c r="H110" s="70">
        <f>IF(OR(H103="nd",H104="nd",H105="nd",H106="nd",H107="nd",H108="nd",H109="nd"),"nd",SUM($H$103:$H$109))</f>
        <v>285</v>
      </c>
      <c r="I110" s="70">
        <f>IF(OR(I103="nd",I104="nd",I105="nd",I106="nd",I107="nd",I108="nd",I109="nd"),"nd",SUM($I$103:$I$109))</f>
        <v>464</v>
      </c>
      <c r="J110" s="70">
        <f>IF(OR(J103="nd",J104="nd",J105="nd",J106="nd",J107="nd",J108="nd",J109="nd"),"nd",SUM(J103:J109))</f>
        <v>478.75</v>
      </c>
      <c r="K110" s="70">
        <f>IF(OR(K103="nd",K104="nd",K105="nd",K106="nd",K107="nd",K108="nd",K109="nd"),"nd",SUM(K103:K109))</f>
        <v>533</v>
      </c>
    </row>
    <row r="111" spans="1:11">
      <c r="A111" s="5"/>
      <c r="B111" s="71" t="s">
        <v>169</v>
      </c>
      <c r="C111" s="45" t="s">
        <v>4</v>
      </c>
      <c r="D111" s="45" t="str">
        <f>'General Info'!D4</f>
        <v>FY 2008-2009</v>
      </c>
      <c r="E111" s="45" t="str">
        <f>'General Info'!E4</f>
        <v>FY 2009-2010</v>
      </c>
      <c r="F111" s="45" t="str">
        <f>'General Info'!F4</f>
        <v>FY 2010-2011</v>
      </c>
      <c r="G111" s="45" t="str">
        <f>'General Info'!G4</f>
        <v>FY 2011-2012</v>
      </c>
      <c r="H111" s="45" t="str">
        <f>'General Info'!H4</f>
        <v>FY 2012-2013</v>
      </c>
      <c r="I111" s="45" t="str">
        <f>'General Info'!I4</f>
        <v>FY 2013-2014</v>
      </c>
      <c r="J111" s="45" t="str">
        <f>'General Info'!J4</f>
        <v>FY 2014-2015</v>
      </c>
      <c r="K111" s="45" t="str">
        <f>'General Info'!K4</f>
        <v>FY 2015-2016</v>
      </c>
    </row>
    <row r="112" spans="1:11">
      <c r="A112" s="5">
        <v>8.8000000000000007</v>
      </c>
      <c r="B112" s="72" t="s">
        <v>170</v>
      </c>
      <c r="C112" s="10" t="s">
        <v>161</v>
      </c>
      <c r="D112" s="39"/>
      <c r="E112" s="39"/>
      <c r="F112" s="422">
        <v>96.34</v>
      </c>
      <c r="G112" s="422">
        <v>55</v>
      </c>
      <c r="H112" s="422">
        <v>65</v>
      </c>
      <c r="I112" s="422">
        <v>143</v>
      </c>
      <c r="J112" s="422">
        <v>143</v>
      </c>
      <c r="K112" s="422">
        <v>189.44</v>
      </c>
    </row>
    <row r="113" spans="1:11">
      <c r="A113" s="5">
        <v>8.9</v>
      </c>
      <c r="B113" s="38" t="s">
        <v>171</v>
      </c>
      <c r="C113" s="10" t="s">
        <v>161</v>
      </c>
      <c r="D113" s="39"/>
      <c r="E113" s="39"/>
      <c r="F113" s="422">
        <v>36.92</v>
      </c>
      <c r="G113" s="422">
        <v>0</v>
      </c>
      <c r="H113" s="422">
        <v>0</v>
      </c>
      <c r="I113" s="422">
        <v>0</v>
      </c>
      <c r="J113" s="422">
        <v>0</v>
      </c>
      <c r="K113" s="422">
        <v>0</v>
      </c>
    </row>
    <row r="114" spans="1:11">
      <c r="A114" s="272">
        <v>8.1</v>
      </c>
      <c r="B114" s="38" t="s">
        <v>172</v>
      </c>
      <c r="C114" s="10" t="s">
        <v>161</v>
      </c>
      <c r="D114" s="39"/>
      <c r="E114" s="39"/>
      <c r="F114" s="422">
        <v>0</v>
      </c>
      <c r="G114" s="422">
        <v>209</v>
      </c>
      <c r="H114" s="422">
        <v>234.5</v>
      </c>
      <c r="I114" s="422">
        <v>240</v>
      </c>
      <c r="J114" s="422">
        <v>265</v>
      </c>
      <c r="K114" s="422">
        <v>288</v>
      </c>
    </row>
    <row r="115" spans="1:11">
      <c r="A115" s="5">
        <v>8.11</v>
      </c>
      <c r="B115" s="38" t="s">
        <v>173</v>
      </c>
      <c r="C115" s="10" t="s">
        <v>161</v>
      </c>
      <c r="D115" s="39"/>
      <c r="E115" s="39"/>
      <c r="F115" s="422">
        <v>0</v>
      </c>
      <c r="G115" s="422">
        <v>13.2</v>
      </c>
      <c r="H115" s="422">
        <v>24.1</v>
      </c>
      <c r="I115" s="422">
        <v>25.52</v>
      </c>
      <c r="J115" s="422">
        <v>25.75</v>
      </c>
      <c r="K115" s="422">
        <v>43.3</v>
      </c>
    </row>
    <row r="116" spans="1:11">
      <c r="A116" s="5"/>
      <c r="B116" s="40" t="s">
        <v>174</v>
      </c>
      <c r="C116" s="10" t="s">
        <v>161</v>
      </c>
      <c r="D116" s="56">
        <f>IF(OR(D113="nd",D114="nd",D115="nd"),"nd",SUM($D$113:$D$115))</f>
        <v>0</v>
      </c>
      <c r="E116" s="56">
        <f>IF(OR(E113="nd",E114="nd",E115="nd"),"nd",SUM($E$113:$E$115))</f>
        <v>0</v>
      </c>
      <c r="F116" s="56">
        <f>IF(OR(F113="nd",F114="nd",F115="nd"),"nd",SUM($F$113:$F$115))</f>
        <v>36.92</v>
      </c>
      <c r="G116" s="56">
        <f>IF(OR(G113="nd",G114="nd",G115="nd"),"nd",SUM($G$113:$G$115))</f>
        <v>222.2</v>
      </c>
      <c r="H116" s="56">
        <f>IF(OR(H113="nd",H114="nd",H115="nd"),"nd",SUM($H$113:$H$115))</f>
        <v>258.60000000000002</v>
      </c>
      <c r="I116" s="56">
        <f>IF(OR(I113="nd",I114="nd",I115="nd"),"nd",SUM($I$113:$I$115))</f>
        <v>265.52</v>
      </c>
      <c r="J116" s="56">
        <f>IF(OR(J113="nd",J114="nd",J115="nd"),"nd",SUM(J113:J115))</f>
        <v>290.75</v>
      </c>
      <c r="K116" s="56">
        <f>IF(OR(K113="nd",K114="nd",K115="nd"),"nd",SUM(K113:K115))</f>
        <v>331.3</v>
      </c>
    </row>
    <row r="118" spans="1:11">
      <c r="A118" s="51">
        <v>9</v>
      </c>
      <c r="B118" s="52" t="s">
        <v>175</v>
      </c>
      <c r="C118" s="33" t="s">
        <v>16</v>
      </c>
      <c r="D118" s="73" t="e">
        <f>IF(OR(E122="nd",E120="nd"),"nd",E122*100/E120)</f>
        <v>#DIV/0!</v>
      </c>
      <c r="E118" s="73" t="e">
        <f t="shared" ref="E118:K118" si="15">IF(OR(E122="nd",E120="nd"),"nd",E122*100/E120)</f>
        <v>#DIV/0!</v>
      </c>
      <c r="F118" s="73">
        <f t="shared" si="15"/>
        <v>32.475622968580716</v>
      </c>
      <c r="G118" s="73">
        <f t="shared" si="15"/>
        <v>44.644464446444644</v>
      </c>
      <c r="H118" s="73">
        <f t="shared" si="15"/>
        <v>44.470224284609429</v>
      </c>
      <c r="I118" s="73">
        <f t="shared" si="15"/>
        <v>55.784874962338058</v>
      </c>
      <c r="J118" s="73">
        <f t="shared" si="15"/>
        <v>56.333619948409286</v>
      </c>
      <c r="K118" s="73">
        <f t="shared" si="15"/>
        <v>59.127678840929669</v>
      </c>
    </row>
    <row r="119" spans="1:11">
      <c r="A119" s="44"/>
      <c r="B119" s="71"/>
      <c r="C119" s="45" t="s">
        <v>4</v>
      </c>
      <c r="D119" s="45" t="str">
        <f>'General Info'!D4</f>
        <v>FY 2008-2009</v>
      </c>
      <c r="E119" s="45" t="str">
        <f>'General Info'!E4</f>
        <v>FY 2009-2010</v>
      </c>
      <c r="F119" s="45" t="str">
        <f>'General Info'!F4</f>
        <v>FY 2010-2011</v>
      </c>
      <c r="G119" s="45" t="str">
        <f>'General Info'!G4</f>
        <v>FY 2011-2012</v>
      </c>
      <c r="H119" s="45" t="str">
        <f>'General Info'!H4</f>
        <v>FY 2012-2013</v>
      </c>
      <c r="I119" s="45" t="str">
        <f>'General Info'!I4</f>
        <v>FY 2013-2014</v>
      </c>
      <c r="J119" s="45" t="str">
        <f>'General Info'!J4</f>
        <v>FY 2014-2015</v>
      </c>
      <c r="K119" s="45" t="str">
        <f>'General Info'!K4</f>
        <v>FY 2015-2016</v>
      </c>
    </row>
    <row r="120" spans="1:11">
      <c r="A120" s="5">
        <v>9.1</v>
      </c>
      <c r="B120" s="40" t="s">
        <v>176</v>
      </c>
      <c r="C120" s="10" t="s">
        <v>161</v>
      </c>
      <c r="D120" s="56">
        <f t="shared" ref="D120:K120" si="16">D116</f>
        <v>0</v>
      </c>
      <c r="E120" s="56">
        <f t="shared" si="16"/>
        <v>0</v>
      </c>
      <c r="F120" s="56">
        <f t="shared" si="16"/>
        <v>36.92</v>
      </c>
      <c r="G120" s="56">
        <f t="shared" si="16"/>
        <v>222.2</v>
      </c>
      <c r="H120" s="56">
        <f t="shared" si="16"/>
        <v>258.60000000000002</v>
      </c>
      <c r="I120" s="56">
        <f t="shared" si="16"/>
        <v>265.52</v>
      </c>
      <c r="J120" s="56">
        <f t="shared" si="16"/>
        <v>290.75</v>
      </c>
      <c r="K120" s="56">
        <f t="shared" si="16"/>
        <v>331.3</v>
      </c>
    </row>
    <row r="121" spans="1:11">
      <c r="A121" s="5">
        <v>9.1999999999999993</v>
      </c>
      <c r="B121" s="38" t="s">
        <v>177</v>
      </c>
      <c r="C121" s="10" t="s">
        <v>161</v>
      </c>
      <c r="D121" s="39"/>
      <c r="E121" s="39"/>
      <c r="F121" s="422">
        <v>13.84</v>
      </c>
      <c r="G121" s="422">
        <v>34</v>
      </c>
      <c r="H121" s="422">
        <v>36</v>
      </c>
      <c r="I121" s="422">
        <v>119.36</v>
      </c>
      <c r="J121" s="422">
        <v>117.08</v>
      </c>
      <c r="K121" s="422">
        <v>112.75</v>
      </c>
    </row>
    <row r="122" spans="1:11">
      <c r="A122" s="5">
        <v>9.3000000000000007</v>
      </c>
      <c r="B122" s="38" t="s">
        <v>178</v>
      </c>
      <c r="C122" s="10" t="s">
        <v>161</v>
      </c>
      <c r="D122" s="39"/>
      <c r="E122" s="39"/>
      <c r="F122" s="422">
        <v>11.99</v>
      </c>
      <c r="G122" s="422">
        <v>99.2</v>
      </c>
      <c r="H122" s="422">
        <v>115</v>
      </c>
      <c r="I122" s="422">
        <v>148.12</v>
      </c>
      <c r="J122" s="422">
        <v>163.79</v>
      </c>
      <c r="K122" s="422">
        <v>195.89</v>
      </c>
    </row>
    <row r="123" spans="1:11">
      <c r="A123" s="5"/>
    </row>
    <row r="124" spans="1:11">
      <c r="A124" s="431" t="s">
        <v>179</v>
      </c>
      <c r="B124" s="431"/>
      <c r="C124" s="431"/>
      <c r="D124" s="431"/>
      <c r="E124" s="431"/>
      <c r="F124" s="74"/>
      <c r="G124" s="74"/>
      <c r="H124" s="74"/>
      <c r="I124" s="74"/>
      <c r="J124" s="74"/>
      <c r="K124" s="74"/>
    </row>
    <row r="125" spans="1:11">
      <c r="A125" s="44">
        <v>10</v>
      </c>
      <c r="B125" s="75" t="s">
        <v>180</v>
      </c>
      <c r="C125" s="45" t="s">
        <v>4</v>
      </c>
      <c r="D125" s="45" t="str">
        <f>'General Info'!D4</f>
        <v>FY 2008-2009</v>
      </c>
      <c r="E125" s="45" t="str">
        <f>'General Info'!E4</f>
        <v>FY 2009-2010</v>
      </c>
      <c r="F125" s="45" t="str">
        <f>'General Info'!F4</f>
        <v>FY 2010-2011</v>
      </c>
      <c r="G125" s="45" t="str">
        <f>'General Info'!G4</f>
        <v>FY 2011-2012</v>
      </c>
      <c r="H125" s="45" t="str">
        <f>'General Info'!H4</f>
        <v>FY 2012-2013</v>
      </c>
      <c r="I125" s="45" t="str">
        <f>'General Info'!I4</f>
        <v>FY 2013-2014</v>
      </c>
      <c r="J125" s="45" t="str">
        <f>'General Info'!J4</f>
        <v>FY 2014-2015</v>
      </c>
      <c r="K125" s="45" t="str">
        <f>'General Info'!K4</f>
        <v>FY 2015-2016</v>
      </c>
    </row>
    <row r="126" spans="1:11">
      <c r="A126" s="5">
        <v>10.1</v>
      </c>
      <c r="B126" s="76" t="s">
        <v>181</v>
      </c>
      <c r="C126" s="10" t="s">
        <v>19</v>
      </c>
      <c r="D126" s="76"/>
      <c r="E126" s="76"/>
      <c r="F126" s="421">
        <v>1</v>
      </c>
      <c r="G126" s="421">
        <v>1</v>
      </c>
      <c r="H126" s="421">
        <v>1</v>
      </c>
      <c r="I126" s="421">
        <v>1</v>
      </c>
      <c r="J126" s="421">
        <v>1</v>
      </c>
      <c r="K126" s="421">
        <v>1</v>
      </c>
    </row>
    <row r="127" spans="1:11">
      <c r="A127" s="5">
        <v>10.199999999999999</v>
      </c>
      <c r="B127" s="76" t="s">
        <v>182</v>
      </c>
      <c r="C127" s="10" t="s">
        <v>19</v>
      </c>
      <c r="D127" s="76"/>
      <c r="E127" s="76"/>
      <c r="F127" s="421">
        <v>1</v>
      </c>
      <c r="G127" s="421">
        <v>1</v>
      </c>
      <c r="H127" s="421">
        <v>1</v>
      </c>
      <c r="I127" s="421">
        <v>1</v>
      </c>
      <c r="J127" s="421">
        <v>1</v>
      </c>
      <c r="K127" s="421">
        <v>1</v>
      </c>
    </row>
    <row r="128" spans="1:11">
      <c r="A128" s="5">
        <v>10.3</v>
      </c>
      <c r="B128" s="76" t="s">
        <v>183</v>
      </c>
      <c r="C128" s="10" t="s">
        <v>19</v>
      </c>
      <c r="D128" s="76"/>
      <c r="E128" s="76"/>
      <c r="F128" s="421">
        <v>1</v>
      </c>
      <c r="G128" s="421">
        <v>1</v>
      </c>
      <c r="H128" s="421">
        <v>1</v>
      </c>
      <c r="I128" s="421">
        <v>2</v>
      </c>
      <c r="J128" s="421">
        <v>2</v>
      </c>
      <c r="K128" s="421">
        <v>2</v>
      </c>
    </row>
    <row r="129" spans="1:11">
      <c r="A129" s="5">
        <v>10.4</v>
      </c>
      <c r="B129" s="76" t="s">
        <v>184</v>
      </c>
      <c r="C129" s="10" t="s">
        <v>19</v>
      </c>
      <c r="D129" s="76"/>
      <c r="E129" s="76"/>
      <c r="F129" s="421">
        <v>1</v>
      </c>
      <c r="G129" s="421">
        <v>1</v>
      </c>
      <c r="H129" s="421">
        <v>1</v>
      </c>
      <c r="I129" s="421">
        <v>2</v>
      </c>
      <c r="J129" s="421">
        <v>2</v>
      </c>
      <c r="K129" s="421">
        <v>2</v>
      </c>
    </row>
    <row r="130" spans="1:11">
      <c r="A130" s="5">
        <v>10.5</v>
      </c>
      <c r="B130" s="76" t="s">
        <v>185</v>
      </c>
      <c r="C130" s="10" t="s">
        <v>19</v>
      </c>
      <c r="D130" s="76"/>
      <c r="E130" s="76"/>
      <c r="F130" s="421">
        <v>1</v>
      </c>
      <c r="G130" s="421">
        <v>1</v>
      </c>
      <c r="H130" s="421">
        <v>1</v>
      </c>
      <c r="I130" s="421">
        <v>2</v>
      </c>
      <c r="J130" s="421">
        <v>2</v>
      </c>
      <c r="K130" s="421">
        <v>2</v>
      </c>
    </row>
    <row r="131" spans="1:11">
      <c r="A131" s="5">
        <v>10.6</v>
      </c>
      <c r="B131" s="76" t="s">
        <v>186</v>
      </c>
      <c r="C131" s="10" t="s">
        <v>19</v>
      </c>
      <c r="D131" s="76"/>
      <c r="E131" s="76"/>
      <c r="F131" s="421">
        <v>1</v>
      </c>
      <c r="G131" s="421">
        <v>1</v>
      </c>
      <c r="H131" s="421">
        <v>1</v>
      </c>
      <c r="I131" s="421">
        <v>2</v>
      </c>
      <c r="J131" s="421">
        <v>2</v>
      </c>
      <c r="K131" s="421">
        <v>2</v>
      </c>
    </row>
    <row r="132" spans="1:11">
      <c r="A132" s="5">
        <v>10.7</v>
      </c>
      <c r="B132" s="76" t="s">
        <v>187</v>
      </c>
      <c r="C132" s="10" t="s">
        <v>19</v>
      </c>
      <c r="D132" s="76"/>
      <c r="E132" s="76"/>
      <c r="F132" s="421">
        <v>4</v>
      </c>
      <c r="G132" s="421">
        <v>5</v>
      </c>
      <c r="H132" s="421">
        <v>5</v>
      </c>
      <c r="I132" s="421">
        <v>5</v>
      </c>
      <c r="J132" s="421">
        <v>5</v>
      </c>
      <c r="K132" s="421">
        <v>5</v>
      </c>
    </row>
    <row r="133" spans="1:11">
      <c r="A133" s="5">
        <v>10.8</v>
      </c>
      <c r="B133" s="76" t="s">
        <v>188</v>
      </c>
      <c r="C133" s="10" t="s">
        <v>19</v>
      </c>
      <c r="D133" s="76"/>
      <c r="E133" s="76"/>
      <c r="F133" s="421">
        <v>3</v>
      </c>
      <c r="G133" s="421">
        <v>5</v>
      </c>
      <c r="H133" s="421">
        <v>5</v>
      </c>
      <c r="I133" s="421">
        <v>5</v>
      </c>
      <c r="J133" s="421">
        <v>5</v>
      </c>
      <c r="K133" s="421">
        <v>5</v>
      </c>
    </row>
    <row r="134" spans="1:11">
      <c r="A134" s="5">
        <v>10.9</v>
      </c>
      <c r="B134" s="76" t="s">
        <v>189</v>
      </c>
      <c r="C134" s="10" t="s">
        <v>19</v>
      </c>
      <c r="D134" s="76"/>
      <c r="E134" s="76"/>
      <c r="F134" s="421">
        <v>4</v>
      </c>
      <c r="G134" s="421">
        <v>3</v>
      </c>
      <c r="H134" s="421">
        <v>3</v>
      </c>
      <c r="I134" s="421">
        <v>3</v>
      </c>
      <c r="J134" s="421">
        <v>3</v>
      </c>
      <c r="K134" s="421">
        <v>3</v>
      </c>
    </row>
    <row r="135" spans="1:11">
      <c r="A135" s="272">
        <v>10.1</v>
      </c>
      <c r="B135" s="76" t="s">
        <v>190</v>
      </c>
      <c r="C135" s="10" t="s">
        <v>19</v>
      </c>
      <c r="D135" s="76"/>
      <c r="E135" s="76"/>
      <c r="F135" s="421">
        <v>4</v>
      </c>
      <c r="G135" s="421">
        <v>3</v>
      </c>
      <c r="H135" s="421">
        <v>3</v>
      </c>
      <c r="I135" s="421">
        <v>3</v>
      </c>
      <c r="J135" s="421">
        <v>3</v>
      </c>
      <c r="K135" s="421">
        <v>3</v>
      </c>
    </row>
    <row r="136" spans="1:11">
      <c r="A136" s="272">
        <v>10.11</v>
      </c>
      <c r="B136" s="76" t="s">
        <v>191</v>
      </c>
      <c r="C136" s="10" t="s">
        <v>19</v>
      </c>
      <c r="D136" s="76"/>
      <c r="E136" s="76"/>
      <c r="F136" s="421">
        <v>12</v>
      </c>
      <c r="G136" s="421">
        <v>23</v>
      </c>
      <c r="H136" s="421">
        <v>23</v>
      </c>
      <c r="I136" s="421">
        <v>23</v>
      </c>
      <c r="J136" s="421">
        <v>23</v>
      </c>
      <c r="K136" s="421">
        <v>23</v>
      </c>
    </row>
    <row r="137" spans="1:11">
      <c r="A137" s="272">
        <v>10.119999999999999</v>
      </c>
      <c r="B137" s="76" t="s">
        <v>192</v>
      </c>
      <c r="C137" s="10" t="s">
        <v>19</v>
      </c>
      <c r="D137" s="76"/>
      <c r="E137" s="76"/>
      <c r="F137" s="421">
        <v>12</v>
      </c>
      <c r="G137" s="421">
        <v>23</v>
      </c>
      <c r="H137" s="421">
        <v>23</v>
      </c>
      <c r="I137" s="421">
        <v>23</v>
      </c>
      <c r="J137" s="421">
        <v>23</v>
      </c>
      <c r="K137" s="421">
        <v>23</v>
      </c>
    </row>
    <row r="138" spans="1:11">
      <c r="A138" s="272">
        <v>10.130000000000001</v>
      </c>
      <c r="B138" s="76" t="s">
        <v>193</v>
      </c>
      <c r="C138" s="10" t="s">
        <v>19</v>
      </c>
      <c r="D138" s="76"/>
      <c r="E138" s="76"/>
      <c r="F138" s="421">
        <v>4</v>
      </c>
      <c r="G138" s="421">
        <v>18</v>
      </c>
      <c r="H138" s="421">
        <v>18</v>
      </c>
      <c r="I138" s="421">
        <v>19</v>
      </c>
      <c r="J138" s="421">
        <v>19</v>
      </c>
      <c r="K138" s="421">
        <v>19</v>
      </c>
    </row>
    <row r="139" spans="1:11">
      <c r="A139" s="272">
        <v>10.14</v>
      </c>
      <c r="B139" s="76" t="s">
        <v>194</v>
      </c>
      <c r="C139" s="10" t="s">
        <v>19</v>
      </c>
      <c r="D139" s="76"/>
      <c r="E139" s="76"/>
      <c r="F139" s="421">
        <v>4</v>
      </c>
      <c r="G139" s="421">
        <v>18</v>
      </c>
      <c r="H139" s="421">
        <v>18</v>
      </c>
      <c r="I139" s="421">
        <v>19</v>
      </c>
      <c r="J139" s="421">
        <v>19</v>
      </c>
      <c r="K139" s="421">
        <v>19</v>
      </c>
    </row>
    <row r="140" spans="1:11">
      <c r="A140" s="5"/>
      <c r="B140" s="77" t="s">
        <v>195</v>
      </c>
      <c r="C140" s="10" t="s">
        <v>19</v>
      </c>
      <c r="D140" s="78">
        <f t="shared" ref="D140:H141" si="17">SUM(D138,D136,D134,D132,D130,D128,D126)</f>
        <v>0</v>
      </c>
      <c r="E140" s="78">
        <f t="shared" si="17"/>
        <v>0</v>
      </c>
      <c r="F140" s="78">
        <f t="shared" si="17"/>
        <v>27</v>
      </c>
      <c r="G140" s="78">
        <f t="shared" si="17"/>
        <v>52</v>
      </c>
      <c r="H140" s="78">
        <f t="shared" si="17"/>
        <v>52</v>
      </c>
      <c r="I140" s="78">
        <f t="shared" ref="I140:K141" si="18">SUM(I138,I136,I134,I132,I130,I128,I126)</f>
        <v>55</v>
      </c>
      <c r="J140" s="78">
        <f t="shared" si="18"/>
        <v>55</v>
      </c>
      <c r="K140" s="78">
        <f t="shared" si="18"/>
        <v>55</v>
      </c>
    </row>
    <row r="141" spans="1:11">
      <c r="A141" s="5"/>
      <c r="B141" s="77" t="s">
        <v>196</v>
      </c>
      <c r="C141" s="10" t="s">
        <v>19</v>
      </c>
      <c r="D141" s="78">
        <f t="shared" si="17"/>
        <v>0</v>
      </c>
      <c r="E141" s="78">
        <f t="shared" si="17"/>
        <v>0</v>
      </c>
      <c r="F141" s="78">
        <f t="shared" si="17"/>
        <v>26</v>
      </c>
      <c r="G141" s="78">
        <f t="shared" si="17"/>
        <v>52</v>
      </c>
      <c r="H141" s="78">
        <f t="shared" si="17"/>
        <v>52</v>
      </c>
      <c r="I141" s="78">
        <f t="shared" si="18"/>
        <v>55</v>
      </c>
      <c r="J141" s="78">
        <f t="shared" si="18"/>
        <v>55</v>
      </c>
      <c r="K141" s="78">
        <f t="shared" si="18"/>
        <v>55</v>
      </c>
    </row>
    <row r="143" spans="1:11">
      <c r="A143" s="42"/>
      <c r="B143" s="79" t="s">
        <v>197</v>
      </c>
      <c r="C143" s="77"/>
      <c r="D143" s="77"/>
      <c r="E143" s="77"/>
      <c r="F143" s="77"/>
      <c r="G143" s="77"/>
      <c r="H143" s="77"/>
      <c r="I143" s="77"/>
      <c r="J143" s="77"/>
      <c r="K143" s="77"/>
    </row>
    <row r="144" spans="1:11">
      <c r="A144" s="272">
        <v>10.15</v>
      </c>
      <c r="B144" s="76" t="s">
        <v>198</v>
      </c>
      <c r="C144" s="10" t="s">
        <v>199</v>
      </c>
      <c r="D144" s="76"/>
      <c r="E144" s="76"/>
      <c r="F144" s="422">
        <v>0</v>
      </c>
      <c r="G144" s="422">
        <v>0</v>
      </c>
      <c r="H144" s="422">
        <v>0</v>
      </c>
      <c r="I144" s="422">
        <v>2000</v>
      </c>
      <c r="J144" s="422">
        <v>2000</v>
      </c>
      <c r="K144" s="422">
        <v>2000</v>
      </c>
    </row>
    <row r="145" spans="1:11">
      <c r="A145" s="272">
        <v>10.16</v>
      </c>
      <c r="B145" s="76" t="s">
        <v>200</v>
      </c>
      <c r="C145" s="10" t="s">
        <v>199</v>
      </c>
      <c r="D145" s="76"/>
      <c r="E145" s="76"/>
      <c r="F145" s="422">
        <v>0</v>
      </c>
      <c r="G145" s="422">
        <v>0</v>
      </c>
      <c r="H145" s="422">
        <v>0</v>
      </c>
      <c r="I145" s="422">
        <v>0</v>
      </c>
      <c r="J145" s="422">
        <v>0</v>
      </c>
      <c r="K145" s="422">
        <v>0</v>
      </c>
    </row>
    <row r="146" spans="1:11">
      <c r="A146" s="272">
        <v>10.17</v>
      </c>
      <c r="B146" s="76" t="s">
        <v>201</v>
      </c>
      <c r="C146" s="10" t="s">
        <v>199</v>
      </c>
      <c r="D146" s="76"/>
      <c r="E146" s="76"/>
      <c r="F146" s="422">
        <v>0</v>
      </c>
      <c r="G146" s="422">
        <v>0</v>
      </c>
      <c r="H146" s="422">
        <v>0</v>
      </c>
      <c r="I146" s="422">
        <v>2000</v>
      </c>
      <c r="J146" s="422">
        <v>2000</v>
      </c>
      <c r="K146" s="422">
        <v>2000</v>
      </c>
    </row>
    <row r="147" spans="1:11">
      <c r="A147" s="272">
        <v>10.18</v>
      </c>
      <c r="B147" s="76" t="s">
        <v>202</v>
      </c>
      <c r="C147" s="10" t="s">
        <v>199</v>
      </c>
      <c r="D147" s="76"/>
      <c r="E147" s="76"/>
      <c r="F147" s="422">
        <v>0</v>
      </c>
      <c r="G147" s="422">
        <v>0</v>
      </c>
      <c r="H147" s="422">
        <v>0</v>
      </c>
      <c r="I147" s="422">
        <v>9600</v>
      </c>
      <c r="J147" s="422">
        <v>9600</v>
      </c>
      <c r="K147" s="422">
        <v>9600</v>
      </c>
    </row>
    <row r="148" spans="1:11">
      <c r="A148" s="272">
        <v>10.19</v>
      </c>
      <c r="B148" s="76" t="s">
        <v>203</v>
      </c>
      <c r="C148" s="10" t="s">
        <v>199</v>
      </c>
      <c r="D148" s="76"/>
      <c r="E148" s="76"/>
      <c r="F148" s="422">
        <v>0</v>
      </c>
      <c r="G148" s="422">
        <v>0</v>
      </c>
      <c r="H148" s="422">
        <v>0</v>
      </c>
      <c r="I148" s="422">
        <v>9600</v>
      </c>
      <c r="J148" s="422">
        <v>9600</v>
      </c>
      <c r="K148" s="422">
        <v>9600</v>
      </c>
    </row>
    <row r="149" spans="1:11">
      <c r="A149" s="42"/>
      <c r="B149" s="79" t="s">
        <v>204</v>
      </c>
      <c r="C149" s="77"/>
      <c r="D149" s="77"/>
      <c r="E149" s="77"/>
      <c r="F149" s="77"/>
      <c r="G149" s="77"/>
      <c r="H149" s="77"/>
      <c r="I149" s="77"/>
      <c r="J149" s="77"/>
      <c r="K149" s="77"/>
    </row>
    <row r="150" spans="1:11">
      <c r="A150" s="272">
        <v>10.199999999999999</v>
      </c>
      <c r="B150" s="76" t="s">
        <v>198</v>
      </c>
      <c r="C150" s="10" t="s">
        <v>205</v>
      </c>
      <c r="D150" s="76"/>
      <c r="E150" s="76"/>
      <c r="F150" s="422">
        <v>0</v>
      </c>
      <c r="G150" s="422">
        <v>0</v>
      </c>
      <c r="H150" s="422">
        <v>0</v>
      </c>
      <c r="I150" s="422">
        <v>200</v>
      </c>
      <c r="J150" s="422">
        <v>200</v>
      </c>
      <c r="K150" s="422">
        <v>200</v>
      </c>
    </row>
    <row r="151" spans="1:11">
      <c r="A151" s="272">
        <v>10.210000000000001</v>
      </c>
      <c r="B151" s="76" t="s">
        <v>200</v>
      </c>
      <c r="C151" s="10" t="s">
        <v>205</v>
      </c>
      <c r="D151" s="76"/>
      <c r="E151" s="76"/>
      <c r="F151" s="422">
        <v>0</v>
      </c>
      <c r="G151" s="422">
        <v>0</v>
      </c>
      <c r="H151" s="422">
        <v>0</v>
      </c>
      <c r="I151" s="422">
        <v>60</v>
      </c>
      <c r="J151" s="422">
        <v>60</v>
      </c>
      <c r="K151" s="422">
        <v>60</v>
      </c>
    </row>
    <row r="152" spans="1:11">
      <c r="A152" s="272">
        <v>10.220000000000001</v>
      </c>
      <c r="B152" s="76" t="s">
        <v>201</v>
      </c>
      <c r="C152" s="10" t="s">
        <v>205</v>
      </c>
      <c r="D152" s="76"/>
      <c r="E152" s="76"/>
      <c r="F152" s="422">
        <v>0</v>
      </c>
      <c r="G152" s="422">
        <v>0</v>
      </c>
      <c r="H152" s="422">
        <v>0</v>
      </c>
      <c r="I152" s="422">
        <v>800</v>
      </c>
      <c r="J152" s="422">
        <v>800</v>
      </c>
      <c r="K152" s="422">
        <v>800</v>
      </c>
    </row>
    <row r="153" spans="1:11">
      <c r="A153" s="272">
        <v>10.23</v>
      </c>
      <c r="B153" s="76" t="s">
        <v>202</v>
      </c>
      <c r="C153" s="10" t="s">
        <v>205</v>
      </c>
      <c r="D153" s="76"/>
      <c r="E153" s="76"/>
      <c r="F153" s="422">
        <v>0</v>
      </c>
      <c r="G153" s="422">
        <v>0</v>
      </c>
      <c r="H153" s="422">
        <v>0</v>
      </c>
      <c r="I153" s="422">
        <v>800</v>
      </c>
      <c r="J153" s="422">
        <v>800</v>
      </c>
      <c r="K153" s="422">
        <v>800</v>
      </c>
    </row>
    <row r="154" spans="1:11">
      <c r="A154" s="272">
        <v>10.24</v>
      </c>
      <c r="B154" s="76" t="s">
        <v>203</v>
      </c>
      <c r="C154" s="10" t="s">
        <v>205</v>
      </c>
      <c r="D154" s="76"/>
      <c r="E154" s="76"/>
      <c r="F154" s="422">
        <v>0</v>
      </c>
      <c r="G154" s="422">
        <v>0</v>
      </c>
      <c r="H154" s="422">
        <v>0</v>
      </c>
      <c r="I154" s="422">
        <v>800</v>
      </c>
      <c r="J154" s="422">
        <v>800</v>
      </c>
      <c r="K154" s="422">
        <v>800</v>
      </c>
    </row>
    <row r="155" spans="1:11">
      <c r="A155" s="42"/>
      <c r="B155" s="79" t="s">
        <v>206</v>
      </c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1:11">
      <c r="A156" s="272">
        <v>10.25</v>
      </c>
      <c r="B156" s="76" t="s">
        <v>198</v>
      </c>
      <c r="C156" s="10" t="s">
        <v>207</v>
      </c>
      <c r="D156" s="76"/>
      <c r="E156" s="76"/>
      <c r="F156" s="422">
        <v>0</v>
      </c>
      <c r="G156" s="422">
        <v>0</v>
      </c>
      <c r="H156" s="422">
        <v>0</v>
      </c>
      <c r="I156" s="422">
        <v>0</v>
      </c>
      <c r="J156" s="422" t="s">
        <v>961</v>
      </c>
      <c r="K156" s="422" t="s">
        <v>961</v>
      </c>
    </row>
    <row r="157" spans="1:11">
      <c r="A157" s="272">
        <v>10.26</v>
      </c>
      <c r="B157" s="76" t="s">
        <v>200</v>
      </c>
      <c r="C157" s="10" t="s">
        <v>207</v>
      </c>
      <c r="D157" s="76"/>
      <c r="E157" s="76"/>
      <c r="F157" s="422">
        <v>0</v>
      </c>
      <c r="G157" s="422">
        <v>0</v>
      </c>
      <c r="H157" s="422">
        <v>0</v>
      </c>
      <c r="I157" s="422">
        <v>0</v>
      </c>
      <c r="J157" s="422" t="s">
        <v>961</v>
      </c>
      <c r="K157" s="422" t="s">
        <v>961</v>
      </c>
    </row>
    <row r="158" spans="1:11">
      <c r="A158" s="272">
        <v>10.27</v>
      </c>
      <c r="B158" s="76" t="s">
        <v>201</v>
      </c>
      <c r="C158" s="10" t="s">
        <v>207</v>
      </c>
      <c r="D158" s="76"/>
      <c r="E158" s="76"/>
      <c r="F158" s="422">
        <v>0</v>
      </c>
      <c r="G158" s="422">
        <v>0</v>
      </c>
      <c r="H158" s="422">
        <v>0</v>
      </c>
      <c r="I158" s="422">
        <v>0</v>
      </c>
      <c r="J158" s="422" t="s">
        <v>961</v>
      </c>
      <c r="K158" s="422" t="s">
        <v>961</v>
      </c>
    </row>
    <row r="159" spans="1:11">
      <c r="A159" s="272">
        <v>10.28</v>
      </c>
      <c r="B159" s="76" t="s">
        <v>202</v>
      </c>
      <c r="C159" s="10" t="s">
        <v>207</v>
      </c>
      <c r="D159" s="76"/>
      <c r="E159" s="76"/>
      <c r="F159" s="422">
        <v>0</v>
      </c>
      <c r="G159" s="422">
        <v>0</v>
      </c>
      <c r="H159" s="422">
        <v>0</v>
      </c>
      <c r="I159" s="422">
        <v>0</v>
      </c>
      <c r="J159" s="422" t="s">
        <v>961</v>
      </c>
      <c r="K159" s="422" t="s">
        <v>961</v>
      </c>
    </row>
    <row r="160" spans="1:11">
      <c r="A160" s="272">
        <v>10.29</v>
      </c>
      <c r="B160" s="76" t="s">
        <v>203</v>
      </c>
      <c r="C160" s="10" t="s">
        <v>207</v>
      </c>
      <c r="D160" s="76"/>
      <c r="E160" s="76"/>
      <c r="F160" s="422">
        <v>0</v>
      </c>
      <c r="G160" s="422">
        <v>0</v>
      </c>
      <c r="H160" s="422">
        <v>0</v>
      </c>
      <c r="I160" s="422">
        <v>0</v>
      </c>
      <c r="J160" s="422" t="s">
        <v>961</v>
      </c>
      <c r="K160" s="422" t="s">
        <v>961</v>
      </c>
    </row>
    <row r="162" spans="1:11">
      <c r="A162" s="5"/>
      <c r="B162" s="368" t="s">
        <v>38</v>
      </c>
      <c r="C162" s="7"/>
      <c r="D162" s="7"/>
      <c r="E162" s="7"/>
      <c r="F162" s="7"/>
      <c r="G162" s="7"/>
      <c r="H162" s="7"/>
      <c r="I162" s="7"/>
      <c r="J162" s="7"/>
      <c r="K162" s="7"/>
    </row>
    <row r="163" spans="1:11">
      <c r="A163" s="271"/>
      <c r="B163" s="14" t="s">
        <v>38</v>
      </c>
      <c r="C163" s="369"/>
      <c r="D163" s="370" t="s">
        <v>39</v>
      </c>
      <c r="E163" s="370" t="s">
        <v>39</v>
      </c>
      <c r="F163" s="370" t="s">
        <v>39</v>
      </c>
      <c r="G163" s="370" t="s">
        <v>39</v>
      </c>
      <c r="H163" s="370" t="s">
        <v>39</v>
      </c>
      <c r="I163" s="370" t="s">
        <v>39</v>
      </c>
      <c r="J163" s="370" t="s">
        <v>39</v>
      </c>
      <c r="K163" s="370" t="s">
        <v>208</v>
      </c>
    </row>
    <row r="165" spans="1:11">
      <c r="A165" s="80" t="s">
        <v>2</v>
      </c>
      <c r="B165" s="81" t="s">
        <v>209</v>
      </c>
      <c r="C165" s="82" t="s">
        <v>4</v>
      </c>
      <c r="D165" s="82" t="str">
        <f>'General Info'!D4</f>
        <v>FY 2008-2009</v>
      </c>
      <c r="E165" s="82" t="str">
        <f>'General Info'!E4</f>
        <v>FY 2009-2010</v>
      </c>
      <c r="F165" s="82" t="str">
        <f>'General Info'!F4</f>
        <v>FY 2010-2011</v>
      </c>
      <c r="G165" s="82" t="str">
        <f>'General Info'!G4</f>
        <v>FY 2011-2012</v>
      </c>
      <c r="H165" s="82" t="str">
        <f>'General Info'!H4</f>
        <v>FY 2012-2013</v>
      </c>
      <c r="I165" s="82" t="str">
        <f>'General Info'!I4</f>
        <v>FY 2013-2014</v>
      </c>
      <c r="J165" s="82" t="str">
        <f>'General Info'!J4</f>
        <v>FY 2014-2015</v>
      </c>
      <c r="K165" s="82" t="str">
        <f>'General Info'!K4</f>
        <v>FY 2015-2016</v>
      </c>
    </row>
    <row r="166" spans="1:11">
      <c r="A166" s="83">
        <v>1</v>
      </c>
      <c r="B166" s="84" t="s">
        <v>210</v>
      </c>
      <c r="C166" s="10" t="s">
        <v>16</v>
      </c>
      <c r="D166" s="85" t="e">
        <f t="shared" ref="D166:K166" si="19">D5</f>
        <v>#DIV/0!</v>
      </c>
      <c r="E166" s="85" t="e">
        <f t="shared" si="19"/>
        <v>#DIV/0!</v>
      </c>
      <c r="F166" s="85">
        <f t="shared" si="19"/>
        <v>38.764001244555068</v>
      </c>
      <c r="G166" s="85">
        <f t="shared" si="19"/>
        <v>29.191642404521321</v>
      </c>
      <c r="H166" s="85">
        <f t="shared" si="19"/>
        <v>33.139236170577156</v>
      </c>
      <c r="I166" s="85">
        <f t="shared" si="19"/>
        <v>44.038676900385127</v>
      </c>
      <c r="J166" s="85">
        <f t="shared" si="19"/>
        <v>53.314842740198188</v>
      </c>
      <c r="K166" s="85">
        <f t="shared" si="19"/>
        <v>58.74300267954262</v>
      </c>
    </row>
    <row r="167" spans="1:11">
      <c r="A167" s="83">
        <v>2</v>
      </c>
      <c r="B167" s="86" t="s">
        <v>211</v>
      </c>
      <c r="C167" s="10" t="s">
        <v>212</v>
      </c>
      <c r="D167" s="85" t="e">
        <f t="shared" ref="D167:K167" si="20">D31</f>
        <v>#DIV/0!</v>
      </c>
      <c r="E167" s="85" t="e">
        <f t="shared" si="20"/>
        <v>#DIV/0!</v>
      </c>
      <c r="F167" s="85">
        <f t="shared" si="20"/>
        <v>47.871775486134212</v>
      </c>
      <c r="G167" s="85">
        <f t="shared" si="20"/>
        <v>84.035675291057871</v>
      </c>
      <c r="H167" s="85">
        <f t="shared" si="20"/>
        <v>132.65164288606462</v>
      </c>
      <c r="I167" s="85">
        <f t="shared" si="20"/>
        <v>132.07170613164908</v>
      </c>
      <c r="J167" s="85">
        <f t="shared" si="20"/>
        <v>130.12023109353044</v>
      </c>
      <c r="K167" s="85">
        <f t="shared" si="20"/>
        <v>128.19709305969425</v>
      </c>
    </row>
    <row r="168" spans="1:11">
      <c r="A168" s="83">
        <v>3</v>
      </c>
      <c r="B168" s="84" t="s">
        <v>213</v>
      </c>
      <c r="C168" s="10" t="s">
        <v>16</v>
      </c>
      <c r="D168" s="85" t="e">
        <f t="shared" ref="D168:K168" si="21">D56</f>
        <v>#DIV/0!</v>
      </c>
      <c r="E168" s="85" t="e">
        <f t="shared" si="21"/>
        <v>#DIV/0!</v>
      </c>
      <c r="F168" s="85">
        <f t="shared" si="21"/>
        <v>0</v>
      </c>
      <c r="G168" s="85">
        <f t="shared" si="21"/>
        <v>0</v>
      </c>
      <c r="H168" s="85">
        <f t="shared" si="21"/>
        <v>0</v>
      </c>
      <c r="I168" s="85">
        <f t="shared" si="21"/>
        <v>0</v>
      </c>
      <c r="J168" s="85" t="str">
        <f t="shared" si="21"/>
        <v>na</v>
      </c>
      <c r="K168" s="85" t="str">
        <f t="shared" si="21"/>
        <v>na</v>
      </c>
    </row>
    <row r="169" spans="1:11">
      <c r="A169" s="83">
        <v>4</v>
      </c>
      <c r="B169" s="84" t="s">
        <v>214</v>
      </c>
      <c r="C169" s="10" t="s">
        <v>16</v>
      </c>
      <c r="D169" s="85" t="e">
        <f t="shared" ref="D169:K169" si="22">D52</f>
        <v>#VALUE!</v>
      </c>
      <c r="E169" s="85" t="e">
        <f t="shared" si="22"/>
        <v>#VALUE!</v>
      </c>
      <c r="F169" s="85" t="e">
        <f t="shared" si="22"/>
        <v>#VALUE!</v>
      </c>
      <c r="G169" s="85" t="e">
        <f t="shared" si="22"/>
        <v>#VALUE!</v>
      </c>
      <c r="H169" s="85" t="e">
        <f t="shared" si="22"/>
        <v>#VALUE!</v>
      </c>
      <c r="I169" s="85" t="e">
        <f t="shared" si="22"/>
        <v>#VALUE!</v>
      </c>
      <c r="J169" s="85" t="e">
        <f t="shared" si="22"/>
        <v>#VALUE!</v>
      </c>
      <c r="K169" s="85">
        <f t="shared" si="22"/>
        <v>22.888888888888882</v>
      </c>
    </row>
    <row r="170" spans="1:11">
      <c r="A170" s="83">
        <v>5</v>
      </c>
      <c r="B170" s="84" t="s">
        <v>215</v>
      </c>
      <c r="C170" s="10" t="s">
        <v>216</v>
      </c>
      <c r="D170" s="87">
        <f t="shared" ref="D170:K170" si="23">D68</f>
        <v>0</v>
      </c>
      <c r="E170" s="87">
        <f t="shared" si="23"/>
        <v>0</v>
      </c>
      <c r="F170" s="87">
        <f t="shared" si="23"/>
        <v>2</v>
      </c>
      <c r="G170" s="87">
        <f t="shared" si="23"/>
        <v>2</v>
      </c>
      <c r="H170" s="87">
        <f t="shared" si="23"/>
        <v>2</v>
      </c>
      <c r="I170" s="87">
        <f t="shared" si="23"/>
        <v>2</v>
      </c>
      <c r="J170" s="87">
        <f t="shared" si="23"/>
        <v>2</v>
      </c>
      <c r="K170" s="87">
        <f t="shared" si="23"/>
        <v>2</v>
      </c>
    </row>
    <row r="171" spans="1:11">
      <c r="A171" s="83">
        <v>6</v>
      </c>
      <c r="B171" s="84" t="s">
        <v>217</v>
      </c>
      <c r="C171" s="10" t="s">
        <v>16</v>
      </c>
      <c r="D171" s="85" t="e">
        <f t="shared" ref="D171:K171" si="24">D73</f>
        <v>#DIV/0!</v>
      </c>
      <c r="E171" s="85" t="e">
        <f t="shared" si="24"/>
        <v>#DIV/0!</v>
      </c>
      <c r="F171" s="85">
        <f t="shared" si="24"/>
        <v>88.888888888888886</v>
      </c>
      <c r="G171" s="85">
        <f t="shared" si="24"/>
        <v>90.721649484536087</v>
      </c>
      <c r="H171" s="85">
        <f t="shared" si="24"/>
        <v>90</v>
      </c>
      <c r="I171" s="85">
        <f t="shared" si="24"/>
        <v>91.489361702127653</v>
      </c>
      <c r="J171" s="85">
        <f t="shared" si="24"/>
        <v>91.481481481481481</v>
      </c>
      <c r="K171" s="85">
        <f t="shared" si="24"/>
        <v>91.478260869565219</v>
      </c>
    </row>
    <row r="172" spans="1:11">
      <c r="A172" s="83">
        <v>7</v>
      </c>
      <c r="B172" s="84" t="s">
        <v>218</v>
      </c>
      <c r="C172" s="10" t="s">
        <v>16</v>
      </c>
      <c r="D172" s="85" t="e">
        <f t="shared" ref="D172:K172" si="25">D78</f>
        <v>#DIV/0!</v>
      </c>
      <c r="E172" s="85" t="e">
        <f t="shared" si="25"/>
        <v>#DIV/0!</v>
      </c>
      <c r="F172" s="85">
        <f t="shared" si="25"/>
        <v>100</v>
      </c>
      <c r="G172" s="85">
        <f t="shared" si="25"/>
        <v>100</v>
      </c>
      <c r="H172" s="85">
        <f t="shared" si="25"/>
        <v>100</v>
      </c>
      <c r="I172" s="85">
        <f t="shared" si="25"/>
        <v>100</v>
      </c>
      <c r="J172" s="85">
        <f t="shared" si="25"/>
        <v>100</v>
      </c>
      <c r="K172" s="85">
        <f t="shared" si="25"/>
        <v>100</v>
      </c>
    </row>
    <row r="173" spans="1:11">
      <c r="A173" s="83">
        <v>8</v>
      </c>
      <c r="B173" s="84" t="s">
        <v>219</v>
      </c>
      <c r="C173" s="10" t="s">
        <v>16</v>
      </c>
      <c r="D173" s="85" t="e">
        <f t="shared" ref="D173:K173" si="26">D101</f>
        <v>#DIV/0!</v>
      </c>
      <c r="E173" s="85" t="e">
        <f t="shared" si="26"/>
        <v>#DIV/0!</v>
      </c>
      <c r="F173" s="85">
        <f t="shared" si="26"/>
        <v>14.346221099669712</v>
      </c>
      <c r="G173" s="85">
        <f t="shared" si="26"/>
        <v>82.60223048327137</v>
      </c>
      <c r="H173" s="85">
        <f t="shared" si="26"/>
        <v>90.736842105263165</v>
      </c>
      <c r="I173" s="85">
        <f t="shared" si="26"/>
        <v>57.224137931034484</v>
      </c>
      <c r="J173" s="85">
        <f t="shared" si="26"/>
        <v>60.731070496083554</v>
      </c>
      <c r="K173" s="85">
        <f t="shared" si="26"/>
        <v>62.157598499061912</v>
      </c>
    </row>
    <row r="174" spans="1:11">
      <c r="A174" s="83">
        <v>9</v>
      </c>
      <c r="B174" s="84" t="s">
        <v>220</v>
      </c>
      <c r="C174" s="10" t="s">
        <v>16</v>
      </c>
      <c r="D174" s="85" t="e">
        <f t="shared" ref="D174:K174" si="27">D118</f>
        <v>#DIV/0!</v>
      </c>
      <c r="E174" s="85" t="e">
        <f t="shared" si="27"/>
        <v>#DIV/0!</v>
      </c>
      <c r="F174" s="85">
        <f t="shared" si="27"/>
        <v>32.475622968580716</v>
      </c>
      <c r="G174" s="85">
        <f t="shared" si="27"/>
        <v>44.644464446444644</v>
      </c>
      <c r="H174" s="85">
        <f t="shared" si="27"/>
        <v>44.470224284609429</v>
      </c>
      <c r="I174" s="85">
        <f t="shared" si="27"/>
        <v>55.784874962338058</v>
      </c>
      <c r="J174" s="85">
        <f t="shared" si="27"/>
        <v>56.333619948409286</v>
      </c>
      <c r="K174" s="85">
        <f t="shared" si="27"/>
        <v>59.127678840929669</v>
      </c>
    </row>
    <row r="176" spans="1:11">
      <c r="A176" s="80" t="s">
        <v>2</v>
      </c>
      <c r="B176" s="88" t="s">
        <v>221</v>
      </c>
      <c r="C176" s="89"/>
      <c r="D176" s="82" t="str">
        <f>'General Info'!D4</f>
        <v>FY 2008-2009</v>
      </c>
      <c r="E176" s="82" t="str">
        <f>'General Info'!E4</f>
        <v>FY 2009-2010</v>
      </c>
      <c r="F176" s="82" t="str">
        <f>'General Info'!F4</f>
        <v>FY 2010-2011</v>
      </c>
      <c r="G176" s="82" t="str">
        <f>'General Info'!G4</f>
        <v>FY 2011-2012</v>
      </c>
      <c r="H176" s="82" t="str">
        <f>'General Info'!H4</f>
        <v>FY 2012-2013</v>
      </c>
      <c r="I176" s="82" t="str">
        <f>'General Info'!I4</f>
        <v>FY 2013-2014</v>
      </c>
      <c r="J176" s="82" t="str">
        <f>'General Info'!J4</f>
        <v>FY 2014-2015</v>
      </c>
      <c r="K176" s="82" t="str">
        <f>'General Info'!K4</f>
        <v>FY 2015-2016</v>
      </c>
    </row>
    <row r="177" spans="1:11">
      <c r="A177" s="90"/>
      <c r="B177" s="91" t="s">
        <v>222</v>
      </c>
      <c r="C177" s="92"/>
      <c r="D177" s="92"/>
      <c r="E177" s="83"/>
      <c r="F177" s="83"/>
      <c r="G177" s="83"/>
      <c r="H177" s="83"/>
      <c r="I177" s="83"/>
      <c r="J177" s="83"/>
      <c r="K177" s="83"/>
    </row>
    <row r="178" spans="1:11">
      <c r="A178" s="83">
        <v>1</v>
      </c>
      <c r="B178" s="91" t="s">
        <v>210</v>
      </c>
      <c r="C178" s="92"/>
      <c r="D178" s="83"/>
      <c r="E178" s="83" t="str">
        <f>IF(AND(Reliability!D8="Y",OR(Reliability!D30="Y",Reliability!D31="Y")),"A",IF(Reliability!D10="Y","B",IF(Reliability!D13="Y","C","D")))</f>
        <v>D</v>
      </c>
      <c r="F178" s="83" t="str">
        <f>IF(AND(Reliability!E8="Y",OR(Reliability!E30="Y",Reliability!E31="Y")),"A",IF(Reliability!E10="Y","B",IF(Reliability!E13="Y","C","D")))</f>
        <v>D</v>
      </c>
      <c r="G178" s="83" t="str">
        <f>IF(AND(Reliability!F8="Y",OR(Reliability!F30="Y",Reliability!F31="Y")),"A",IF(Reliability!F10="Y","B",IF(Reliability!F13="Y","C","D")))</f>
        <v>D</v>
      </c>
      <c r="H178" s="83" t="str">
        <f>IF(AND(Reliability!G8="Y",OR(Reliability!G30="Y",Reliability!G31="Y")),"A",IF(Reliability!G10="Y","B",IF(Reliability!G13="Y","C","D")))</f>
        <v>D</v>
      </c>
      <c r="I178" s="83" t="str">
        <f>IF(AND(Reliability!H8="Y",OR(Reliability!H30="Y",Reliability!H31="Y")),"A",IF(Reliability!H10="Y","B",IF(Reliability!H13="Y","C","D")))</f>
        <v>D</v>
      </c>
      <c r="J178" s="83" t="str">
        <f>IF(AND(Reliability!I8="Y",OR(Reliability!I30="Y",Reliability!I31="Y")),"A",IF(Reliability!I10="Y","B",IF(Reliability!I13="Y","C","D")))</f>
        <v>A</v>
      </c>
      <c r="K178" s="83" t="str">
        <f>IF(AND(Reliability!J8="Y",OR(Reliability!J30="Y",Reliability!J31="Y")),"A",IF(Reliability!J10="Y","B",IF(Reliability!J13="Y","C","D")))</f>
        <v>A</v>
      </c>
    </row>
    <row r="179" spans="1:11">
      <c r="A179" s="83">
        <v>2</v>
      </c>
      <c r="B179" s="91" t="s">
        <v>211</v>
      </c>
      <c r="C179" s="92"/>
      <c r="D179" s="83"/>
      <c r="E179" s="83" t="str">
        <f>IF(AND(Reliability!D68="Y",Reliability!D70="Y",Reliability!D99="Y",OR(Reliability!D73="Y",Reliability!D74="Y",Reliability!D75="Y",Reliability!D76="Y",Reliability!D103="Y",Reliability!D104="Y")),"A",IF(AND(Reliability!D72="Y",Reliability!D96="Y",Reliability!D100="Y"),"C","D"))</f>
        <v>D</v>
      </c>
      <c r="F179" s="83" t="str">
        <f>IF(AND(Reliability!E68="Y",Reliability!E70="Y",Reliability!E99="Y",OR(Reliability!E73="Y",Reliability!E74="Y",Reliability!E75="Y",Reliability!E76="Y",Reliability!E103="Y",Reliability!E104="Y")),"A",IF(AND(Reliability!E72="Y",Reliability!E96="Y",Reliability!E100="Y"),"C","D"))</f>
        <v>D</v>
      </c>
      <c r="G179" s="83" t="str">
        <f>IF(AND(Reliability!F68="Y",Reliability!F70="Y",Reliability!F99="Y",OR(Reliability!F73="Y",Reliability!F74="Y",Reliability!F75="Y",Reliability!F76="Y",Reliability!F103="Y",Reliability!F104="Y")),"A",IF(AND(Reliability!F72="Y",Reliability!F96="Y",Reliability!F100="Y"),"C","D"))</f>
        <v>D</v>
      </c>
      <c r="H179" s="83" t="str">
        <f>IF(AND(Reliability!G68="Y",Reliability!G70="Y",Reliability!G99="Y",OR(Reliability!G73="Y",Reliability!G74="Y",Reliability!G75="Y",Reliability!G76="Y",Reliability!G103="Y",Reliability!G104="Y")),"A",IF(AND(Reliability!G72="Y",Reliability!G96="Y",Reliability!G100="Y"),"C","D"))</f>
        <v>D</v>
      </c>
      <c r="I179" s="83" t="str">
        <f>IF(AND(Reliability!H68="Y",Reliability!H70="Y",Reliability!H99="Y",OR(Reliability!H73="Y",Reliability!H74="Y",Reliability!H75="Y",Reliability!H76="Y",Reliability!H103="Y",Reliability!H104="Y")),"A",IF(AND(Reliability!H72="Y",Reliability!H96="Y",Reliability!H100="Y"),"C","D"))</f>
        <v>D</v>
      </c>
      <c r="J179" s="83" t="str">
        <f>IF(AND(Reliability!I68="Y",Reliability!I70="Y",Reliability!I99="Y",OR(Reliability!I73="Y",Reliability!I74="Y",Reliability!I75="Y",Reliability!I76="Y",Reliability!I103="Y",Reliability!I104="Y")),"A",IF(AND(Reliability!I72="Y",Reliability!I96="Y",Reliability!I100="Y"),"C","D"))</f>
        <v>D</v>
      </c>
      <c r="K179" s="83" t="str">
        <f>IF(AND(Reliability!J68="Y",Reliability!J70="Y",Reliability!J99="Y",OR(Reliability!J73="Y",Reliability!J74="Y",Reliability!J75="Y",Reliability!J76="Y",Reliability!J103="Y",Reliability!J104="Y")),"A",IF(AND(Reliability!J72="Y",Reliability!J96="Y",Reliability!J100="Y"),"C","D"))</f>
        <v>D</v>
      </c>
    </row>
    <row r="180" spans="1:11">
      <c r="A180" s="83">
        <v>3</v>
      </c>
      <c r="B180" s="91" t="s">
        <v>213</v>
      </c>
      <c r="C180" s="92"/>
      <c r="D180" s="83"/>
      <c r="E180" s="83" t="str">
        <f>IF(AND(Reliability!D169="Y",Reliability!D97="Y",Reliability!D175="Y",Reliability!D95="Y",Reliability!D99="Y",OR(Reliability!D103="Y",Reliability!D104="Y")),"A",IF(AND(Reliability!D95="Y",OR(Reliability!D103="Y",Reliability!D104="Y")),"B",IF(Reliability!D96="Y","C","D")))</f>
        <v>D</v>
      </c>
      <c r="F180" s="83" t="str">
        <f>IF(AND(Reliability!E169="Y",Reliability!E97="Y",Reliability!E175="Y",Reliability!E95="Y",Reliability!E99="Y",OR(Reliability!E103="Y",Reliability!E104="Y")),"A",IF(AND(Reliability!E95="Y",OR(Reliability!E103="Y",Reliability!E104="Y")),"B",IF(Reliability!E96="Y","C","D")))</f>
        <v>D</v>
      </c>
      <c r="G180" s="83" t="str">
        <f>IF(AND(Reliability!F169="Y",Reliability!F97="Y",Reliability!F175="Y",Reliability!F95="Y",Reliability!F99="Y",OR(Reliability!F103="Y",Reliability!F104="Y")),"A",IF(AND(Reliability!F95="Y",OR(Reliability!F103="Y",Reliability!F104="Y")),"B",IF(Reliability!F96="Y","C","D")))</f>
        <v>D</v>
      </c>
      <c r="H180" s="83" t="str">
        <f>IF(AND(Reliability!G169="Y",Reliability!G97="Y",Reliability!G175="Y",Reliability!G95="Y",Reliability!G99="Y",OR(Reliability!G103="Y",Reliability!G104="Y")),"A",IF(AND(Reliability!G95="Y",OR(Reliability!G103="Y",Reliability!G104="Y")),"B",IF(Reliability!G96="Y","C","D")))</f>
        <v>D</v>
      </c>
      <c r="I180" s="83" t="str">
        <f>IF(AND(Reliability!H169="Y",Reliability!H97="Y",Reliability!H175="Y",Reliability!H95="Y",Reliability!H99="Y",OR(Reliability!H103="Y",Reliability!H104="Y")),"A",IF(AND(Reliability!H95="Y",OR(Reliability!H103="Y",Reliability!H104="Y")),"B",IF(Reliability!H96="Y","C","D")))</f>
        <v>D</v>
      </c>
      <c r="J180" s="83" t="str">
        <f>IF(AND(Reliability!I169="Y",Reliability!I97="Y",Reliability!I175="Y",Reliability!I95="Y",Reliability!I99="Y",OR(Reliability!I103="Y",Reliability!I104="Y")),"A",IF(AND(Reliability!I95="Y",OR(Reliability!I103="Y",Reliability!I104="Y")),"B",IF(Reliability!I96="Y","C","D")))</f>
        <v>D</v>
      </c>
      <c r="K180" s="83" t="str">
        <f>IF(AND(Reliability!J169="Y",Reliability!J97="Y",Reliability!J175="Y",Reliability!J95="Y",Reliability!J99="Y",OR(Reliability!J103="Y",Reliability!J104="Y")),"A",IF(AND(Reliability!J95="Y",OR(Reliability!J103="Y",Reliability!J104="Y")),"B",IF(Reliability!J96="Y","C","D")))</f>
        <v>D</v>
      </c>
    </row>
    <row r="181" spans="1:11">
      <c r="A181" s="83">
        <v>4</v>
      </c>
      <c r="B181" s="91" t="s">
        <v>214</v>
      </c>
      <c r="C181" s="92"/>
      <c r="D181" s="83"/>
      <c r="E181" s="83" t="str">
        <f>IF(AND(Reliability!D68="Y",Reliability!D70="Y",Reliability!D95="Y",Reliability!D99="Y",OR(Reliability!D103="Y",Reliability!D104="Y")),"A",IF(AND(Reliability!D68="Y",Reliability!D70="Y",Reliability!D96="Y",Reliability!D102="Y"),"B",IF(AND(Reliability!D72="Y",Reliability!D96="Y"),"C","D")))</f>
        <v>D</v>
      </c>
      <c r="F181" s="83" t="str">
        <f>IF(AND(Reliability!E68="Y",Reliability!E70="Y",Reliability!E95="Y",Reliability!E99="Y",OR(Reliability!E103="Y",Reliability!E104="Y")),"A",IF(AND(Reliability!E68="Y",Reliability!E70="Y",Reliability!E96="Y",Reliability!E102="Y"),"B",IF(AND(Reliability!E72="Y",Reliability!E96="Y"),"C","D")))</f>
        <v>D</v>
      </c>
      <c r="G181" s="83" t="str">
        <f>IF(AND(Reliability!F68="Y",Reliability!F70="Y",Reliability!F95="Y",Reliability!F99="Y",OR(Reliability!F103="Y",Reliability!F104="Y")),"A",IF(AND(Reliability!F68="Y",Reliability!F70="Y",Reliability!F96="Y",Reliability!F102="Y"),"B",IF(AND(Reliability!F72="Y",Reliability!F96="Y"),"C","D")))</f>
        <v>D</v>
      </c>
      <c r="H181" s="83" t="str">
        <f>IF(AND(Reliability!G68="Y",Reliability!G70="Y",Reliability!G95="Y",Reliability!G99="Y",OR(Reliability!G103="Y",Reliability!G104="Y")),"A",IF(AND(Reliability!G68="Y",Reliability!G70="Y",Reliability!G96="Y",Reliability!G102="Y"),"B",IF(AND(Reliability!G72="Y",Reliability!G96="Y"),"C","D")))</f>
        <v>D</v>
      </c>
      <c r="I181" s="83" t="str">
        <f>IF(AND(Reliability!H68="Y",Reliability!H70="Y",Reliability!H95="Y",Reliability!H99="Y",OR(Reliability!H103="Y",Reliability!H104="Y")),"A",IF(AND(Reliability!H68="Y",Reliability!H70="Y",Reliability!H96="Y",Reliability!H102="Y"),"B",IF(AND(Reliability!H72="Y",Reliability!H96="Y"),"C","D")))</f>
        <v>D</v>
      </c>
      <c r="J181" s="83" t="str">
        <f>IF(AND(Reliability!I68="Y",Reliability!I70="Y",Reliability!I95="Y",Reliability!I99="Y",OR(Reliability!I103="Y",Reliability!I104="Y")),"A",IF(AND(Reliability!I68="Y",Reliability!I70="Y",Reliability!I96="Y",Reliability!I102="Y"),"B",IF(AND(Reliability!I72="Y",Reliability!I96="Y"),"C","D")))</f>
        <v>D</v>
      </c>
      <c r="K181" s="83" t="str">
        <f>IF(AND(Reliability!J68="Y",Reliability!J70="Y",Reliability!J95="Y",Reliability!J99="Y",OR(Reliability!J103="Y",Reliability!J104="Y")),"A",IF(AND(Reliability!J68="Y",Reliability!J70="Y",Reliability!J96="Y",Reliability!J102="Y"),"B",IF(AND(Reliability!J72="Y",Reliability!J96="Y"),"C","D")))</f>
        <v>D</v>
      </c>
    </row>
    <row r="182" spans="1:11">
      <c r="A182" s="83">
        <v>5</v>
      </c>
      <c r="B182" s="91" t="s">
        <v>215</v>
      </c>
      <c r="C182" s="92"/>
      <c r="D182" s="83"/>
      <c r="E182" s="83" t="str">
        <f>IF(AND(Reliability!D87="Y",Reliability!D90="Y"),"A",IF(Reliability!D87="Y","B","D"))</f>
        <v>D</v>
      </c>
      <c r="F182" s="83" t="str">
        <f>IF(AND(Reliability!E87="Y",Reliability!E90="Y"),"A",IF(Reliability!E87="Y","B","D"))</f>
        <v>D</v>
      </c>
      <c r="G182" s="83" t="str">
        <f>IF(AND(Reliability!F87="Y",Reliability!F90="Y"),"A",IF(Reliability!F87="Y","B","D"))</f>
        <v>D</v>
      </c>
      <c r="H182" s="83" t="str">
        <f>IF(AND(Reliability!G87="Y",Reliability!G90="Y"),"A",IF(Reliability!G87="Y","B","D"))</f>
        <v>D</v>
      </c>
      <c r="I182" s="83" t="str">
        <f>IF(AND(Reliability!H87="Y",Reliability!H90="Y"),"A",IF(Reliability!H87="Y","B","D"))</f>
        <v>D</v>
      </c>
      <c r="J182" s="83" t="str">
        <f>IF(AND(Reliability!I87="Y",Reliability!I90="Y"),"A",IF(Reliability!I87="Y","B","D"))</f>
        <v>D</v>
      </c>
      <c r="K182" s="83" t="str">
        <f>IF(AND(Reliability!J87="Y",Reliability!J90="Y"),"A",IF(Reliability!J87="Y","B","D"))</f>
        <v>D</v>
      </c>
    </row>
    <row r="183" spans="1:11">
      <c r="A183" s="83">
        <v>6</v>
      </c>
      <c r="B183" s="91" t="s">
        <v>217</v>
      </c>
      <c r="C183" s="92"/>
      <c r="D183" s="83"/>
      <c r="E183" s="83" t="str">
        <f>IF(AND(Reliability!D180="Y",OR(Reliability!D184="Y",Reliability!D185="Y"),Reliability!D191="Y",Reliability!D195="Y"),"A",IF(AND(Reliability!D180="Y",Reliability!D195="Y"),"B",IF(Reliability!D180="Y","C","D")))</f>
        <v>D</v>
      </c>
      <c r="F183" s="83" t="str">
        <f>IF(AND(Reliability!E180="Y",OR(Reliability!E184="Y",Reliability!E185="Y"),Reliability!E191="Y",Reliability!E195="Y"),"A",IF(AND(Reliability!E180="Y",Reliability!E195="Y"),"B",IF(Reliability!E180="Y","C","D")))</f>
        <v>D</v>
      </c>
      <c r="G183" s="83" t="str">
        <f>IF(AND(Reliability!F180="Y",OR(Reliability!F184="Y",Reliability!F185="Y"),Reliability!F191="Y",Reliability!F195="Y"),"A",IF(AND(Reliability!F180="Y",Reliability!F195="Y"),"B",IF(Reliability!F180="Y","C","D")))</f>
        <v>D</v>
      </c>
      <c r="H183" s="83" t="str">
        <f>IF(AND(Reliability!G180="Y",OR(Reliability!G184="Y",Reliability!G185="Y"),Reliability!G191="Y",Reliability!G195="Y"),"A",IF(AND(Reliability!G180="Y",Reliability!G195="Y"),"B",IF(Reliability!G180="Y","C","D")))</f>
        <v>D</v>
      </c>
      <c r="I183" s="83" t="str">
        <f>IF(AND(Reliability!H180="Y",OR(Reliability!H184="Y",Reliability!H185="Y"),Reliability!H191="Y",Reliability!H195="Y"),"A",IF(AND(Reliability!H180="Y",Reliability!H195="Y"),"B",IF(Reliability!H180="Y","C","D")))</f>
        <v>D</v>
      </c>
      <c r="J183" s="83" t="str">
        <f>IF(AND(Reliability!I180="Y",OR(Reliability!I184="Y",Reliability!I185="Y"),Reliability!I191="Y",Reliability!I195="Y"),"A",IF(AND(Reliability!I180="Y",Reliability!I195="Y"),"B",IF(Reliability!I180="Y","C","D")))</f>
        <v>A</v>
      </c>
      <c r="K183" s="83" t="str">
        <f>IF(AND(Reliability!J180="Y",OR(Reliability!J184="Y",Reliability!J185="Y"),Reliability!J191="Y",Reliability!J195="Y"),"A",IF(AND(Reliability!J180="Y",Reliability!J195="Y"),"B",IF(Reliability!J180="Y","C","D")))</f>
        <v>A</v>
      </c>
    </row>
    <row r="184" spans="1:11">
      <c r="A184" s="83">
        <v>7</v>
      </c>
      <c r="B184" s="91" t="s">
        <v>218</v>
      </c>
      <c r="C184" s="92"/>
      <c r="D184" s="83"/>
      <c r="E184" s="83" t="str">
        <f>IF(AND(Reliability!D78="Y",Reliability!D79="Y",Reliability!D82="Y",E84&gt;0,E96&gt;0,OR(Reliability!D84="Y",Reliability!D85="Y")),"A",IF(AND(Reliability!D78="Y",Reliability!D79="Y",E84&gt;0,E96&gt;0),"B",IF(Reliability!D81="Y","C","D")))</f>
        <v>D</v>
      </c>
      <c r="F184" s="83" t="str">
        <f>IF(AND(Reliability!E78="Y",Reliability!E79="Y",Reliability!E82="Y",F84&gt;0,F96&gt;0,OR(Reliability!E84="Y",Reliability!E85="Y")),"A",IF(AND(Reliability!E78="Y",Reliability!E79="Y",F84&gt;0,F96&gt;0),"B",IF(Reliability!E81="Y","C","D")))</f>
        <v>D</v>
      </c>
      <c r="G184" s="83" t="str">
        <f>IF(AND(Reliability!F78="Y",Reliability!F79="Y",Reliability!F82="Y",G84&gt;0,G96&gt;0,OR(Reliability!F84="Y",Reliability!F85="Y")),"A",IF(AND(Reliability!F78="Y",Reliability!F79="Y",G84&gt;0,G96&gt;0),"B",IF(Reliability!F81="Y","C","D")))</f>
        <v>D</v>
      </c>
      <c r="H184" s="83" t="str">
        <f>IF(AND(Reliability!G78="Y",Reliability!G79="Y",Reliability!G82="Y",H84&gt;0,H96&gt;0,OR(Reliability!G84="Y",Reliability!G85="Y")),"A",IF(AND(Reliability!G78="Y",Reliability!G79="Y",H84&gt;0,H96&gt;0),"B",IF(Reliability!G81="Y","C","D")))</f>
        <v>D</v>
      </c>
      <c r="I184" s="83" t="str">
        <f>IF(AND(Reliability!H78="Y",Reliability!H79="Y",Reliability!H82="Y",I84&gt;0,I96&gt;0,OR(Reliability!H84="Y",Reliability!H85="Y")),"A",IF(AND(Reliability!H78="Y",Reliability!H79="Y",I84&gt;0,I96&gt;0),"B",IF(Reliability!H81="Y","C","D")))</f>
        <v>D</v>
      </c>
      <c r="J184" s="83" t="str">
        <f>IF(AND(Reliability!I78="Y",Reliability!I79="Y",Reliability!I82="Y",J84&gt;0,J96&gt;0,OR(Reliability!I84="Y",Reliability!I85="Y")),"A",IF(AND(Reliability!I78="Y",Reliability!I79="Y",J84&gt;0,J96&gt;0),"B",IF(Reliability!I81="Y","C","D")))</f>
        <v>B</v>
      </c>
      <c r="K184" s="83" t="str">
        <f>IF(AND(Reliability!J78="Y",Reliability!J79="Y",Reliability!J82="Y",K84&gt;0,K96&gt;0,OR(Reliability!J84="Y",Reliability!J85="Y")),"A",IF(AND(Reliability!J78="Y",Reliability!J79="Y",K84&gt;0,K96&gt;0),"B",IF(Reliability!J81="Y","C","D")))</f>
        <v>B</v>
      </c>
    </row>
    <row r="185" spans="1:11">
      <c r="A185" s="83">
        <v>8</v>
      </c>
      <c r="B185" s="91" t="s">
        <v>219</v>
      </c>
      <c r="C185" s="92"/>
      <c r="D185" s="83"/>
      <c r="E185" s="83" t="str">
        <f>IF(AND(Reliability!D157="Y",Reliability!D160="Y",Reliability!D166="Y",Reliability!D176="Y"),"A",IF(AND(Reliability!D157="Y",Reliability!D161="Y",Reliability!D166="Y",water!E105=0),"B","D"))</f>
        <v>D</v>
      </c>
      <c r="F185" s="83" t="str">
        <f>IF(AND(Reliability!E157="Y",Reliability!E160="Y",Reliability!E166="Y",Reliability!E176="Y"),"A",IF(AND(Reliability!E157="Y",Reliability!E161="Y",Reliability!E166="Y",water!F105=0),"B","D"))</f>
        <v>D</v>
      </c>
      <c r="G185" s="83" t="str">
        <f>IF(AND(Reliability!F157="Y",Reliability!F160="Y",Reliability!F166="Y",Reliability!F176="Y"),"A",IF(AND(Reliability!F157="Y",Reliability!F161="Y",Reliability!F166="Y",water!G105=0),"B","D"))</f>
        <v>D</v>
      </c>
      <c r="H185" s="83" t="str">
        <f>IF(AND(Reliability!G157="Y",Reliability!G160="Y",Reliability!G166="Y",Reliability!G176="Y"),"A",IF(AND(Reliability!G157="Y",Reliability!G161="Y",Reliability!G166="Y",water!H105=0),"B","D"))</f>
        <v>D</v>
      </c>
      <c r="I185" s="83" t="str">
        <f>IF(AND(Reliability!H157="Y",Reliability!H160="Y",Reliability!H166="Y",Reliability!H176="Y"),"A",IF(AND(Reliability!H157="Y",Reliability!H161="Y",Reliability!H166="Y",water!I105=0),"B","D"))</f>
        <v>D</v>
      </c>
      <c r="J185" s="83" t="str">
        <f>IF(AND(Reliability!I157="Y",Reliability!I160="Y",Reliability!I166="Y",Reliability!I176="Y"),"A",IF(AND(Reliability!I157="Y",Reliability!I161="Y",Reliability!I166="Y",water!J105=0),"B","D"))</f>
        <v>D</v>
      </c>
      <c r="K185" s="83" t="str">
        <f>IF(AND(Reliability!J157="Y",Reliability!J160="Y",Reliability!J166="Y",Reliability!J176="Y"),"A",IF(AND(Reliability!J157="Y",Reliability!J161="Y",Reliability!J166="Y",water!K105=0),"B","D"))</f>
        <v>D</v>
      </c>
    </row>
    <row r="186" spans="1:11">
      <c r="A186" s="83">
        <v>9</v>
      </c>
      <c r="B186" s="91" t="s">
        <v>220</v>
      </c>
      <c r="C186" s="92"/>
      <c r="D186" s="83"/>
      <c r="E186" s="83" t="str">
        <f>IF(AND(Reliability!D158="Y",Reliability!D166="Y",Reliability!D169="Y"),"A",IF(AND(Reliability!D158="Y",Reliability!D166="Y"),"B","D"))</f>
        <v>D</v>
      </c>
      <c r="F186" s="83" t="str">
        <f>IF(AND(Reliability!E158="Y",Reliability!E166="Y",Reliability!E169="Y"),"A",IF(AND(Reliability!E158="Y",Reliability!E166="Y"),"B","D"))</f>
        <v>D</v>
      </c>
      <c r="G186" s="83" t="str">
        <f>IF(AND(Reliability!F158="Y",Reliability!F166="Y",Reliability!F169="Y"),"A",IF(AND(Reliability!F158="Y",Reliability!F166="Y"),"B","D"))</f>
        <v>D</v>
      </c>
      <c r="H186" s="83" t="str">
        <f>IF(AND(Reliability!G158="Y",Reliability!G166="Y",Reliability!G169="Y"),"A",IF(AND(Reliability!G158="Y",Reliability!G166="Y"),"B","D"))</f>
        <v>D</v>
      </c>
      <c r="I186" s="83" t="str">
        <f>IF(AND(Reliability!H158="Y",Reliability!H166="Y",Reliability!H169="Y"),"A",IF(AND(Reliability!H158="Y",Reliability!H166="Y"),"B","D"))</f>
        <v>D</v>
      </c>
      <c r="J186" s="83" t="str">
        <f>IF(AND(Reliability!I158="Y",Reliability!I166="Y",Reliability!I169="Y"),"A",IF(AND(Reliability!I158="Y",Reliability!I166="Y"),"B","D"))</f>
        <v>D</v>
      </c>
      <c r="K186" s="83" t="str">
        <f>IF(AND(Reliability!J158="Y",Reliability!J166="Y",Reliability!J169="Y"),"A",IF(AND(Reliability!J158="Y",Reliability!J166="Y"),"B","D"))</f>
        <v>D</v>
      </c>
    </row>
    <row r="188" spans="1:11">
      <c r="A188" s="80" t="s">
        <v>2</v>
      </c>
      <c r="B188" s="81" t="s">
        <v>223</v>
      </c>
      <c r="C188" s="82" t="s">
        <v>4</v>
      </c>
      <c r="D188" s="82" t="str">
        <f>'General Info'!D4</f>
        <v>FY 2008-2009</v>
      </c>
      <c r="E188" s="82" t="str">
        <f>'General Info'!E4</f>
        <v>FY 2009-2010</v>
      </c>
      <c r="F188" s="82" t="str">
        <f>'General Info'!F4</f>
        <v>FY 2010-2011</v>
      </c>
      <c r="G188" s="82" t="str">
        <f>'General Info'!G4</f>
        <v>FY 2011-2012</v>
      </c>
      <c r="H188" s="82" t="str">
        <f>'General Info'!H4</f>
        <v>FY 2012-2013</v>
      </c>
      <c r="I188" s="82" t="str">
        <f>'General Info'!I4</f>
        <v>FY 2013-2014</v>
      </c>
      <c r="J188" s="82" t="str">
        <f>'General Info'!J4</f>
        <v>FY 2014-2015</v>
      </c>
      <c r="K188" s="82" t="str">
        <f>'General Info'!K4</f>
        <v>FY 2015-2016</v>
      </c>
    </row>
    <row r="189" spans="1:11">
      <c r="A189" s="83">
        <v>1</v>
      </c>
      <c r="B189" s="84" t="s">
        <v>224</v>
      </c>
      <c r="C189" s="83" t="s">
        <v>16</v>
      </c>
      <c r="D189" s="93" t="e">
        <f>IF(OR(D29="nd",'General Info'!D12="nd",'Equity Related Information'!D35="nd",'Equity Related Information'!D36="nd",'General Info'!D8="nd"),"nd",(((D29*'General Info'!D12)+('Equity Related Information'!D35*25)+('Equity Related Information'!D36)*125)/'General Info'!D8)*100)</f>
        <v>#DIV/0!</v>
      </c>
      <c r="E189" s="93" t="e">
        <f>IF(OR(E29="nd",'General Info'!E12="nd",'Equity Related Information'!E35="nd",'Equity Related Information'!E36="nd",'General Info'!E8="nd"),"nd",(((E29*'General Info'!E12)+(IF('Equity Related Information'!E35="NA",0,'Equity Related Information'!E35)*25)+(IF('Equity Related Information'!E36="NA",0,'Equity Related Information'!E36)*125))/'General Info'!E8)*100)</f>
        <v>#DIV/0!</v>
      </c>
      <c r="F189" s="93">
        <f>IF(OR(F29="nd",'General Info'!F12="nd",'Equity Related Information'!F35="nd",'Equity Related Information'!F36="nd",'General Info'!F8="nd"),"nd",(((F29*'General Info'!F12)+(IF('Equity Related Information'!F35="NA",0,'Equity Related Information'!F35)*25)+(IF('Equity Related Information'!F36="NA",0,'Equity Related Information'!F36)*125))/'General Info'!F8)*100)</f>
        <v>38.764001244555075</v>
      </c>
      <c r="G189" s="93">
        <f>IF(OR(G29="nd",'General Info'!G12="nd",'Equity Related Information'!G35="nd",'Equity Related Information'!G36="nd",'General Info'!G8="nd"),"nd",(((G29*'General Info'!G12)+(IF('Equity Related Information'!G35="NA",0,'Equity Related Information'!G35)*25)+(IF('Equity Related Information'!G36="NA",0,'Equity Related Information'!G36)*125))/'General Info'!G8)*100)</f>
        <v>29.191642404521325</v>
      </c>
      <c r="H189" s="93">
        <f>IF(OR(H29="nd",'General Info'!H12="nd",'Equity Related Information'!H35="nd",'Equity Related Information'!H36="nd",'General Info'!H8="nd"),"nd",(((H29*'General Info'!H12)+(IF('Equity Related Information'!H35="NA",0,'Equity Related Information'!H35)*25)+(IF('Equity Related Information'!H36="NA",0,'Equity Related Information'!H36)*125))/'General Info'!H8)*100)</f>
        <v>33.139236170577149</v>
      </c>
      <c r="I189" s="93">
        <f>IF(OR(I29="nd",'General Info'!I12="nd",'Equity Related Information'!I35="nd",'Equity Related Information'!I36="nd",'General Info'!I8="nd"),"nd",(((I29*'General Info'!I12)+(IF('Equity Related Information'!I35="NA",0,'Equity Related Information'!I35)*25)+(IF('Equity Related Information'!I36="NA",0,'Equity Related Information'!I36)*125))/'General Info'!I8)*100)</f>
        <v>184.76841710066452</v>
      </c>
      <c r="J189" s="93">
        <f>IF(OR(J29="nd",'General Info'!J12="nd",'Equity Related Information'!J35="nd",'Equity Related Information'!J36="nd",'General Info'!J8="nd"),"nd",(((J29*'General Info'!J12)+(IF('Equity Related Information'!J35="NA",0,'Equity Related Information'!J35)*25)+(IF('Equity Related Information'!J36="NA",0,'Equity Related Information'!J36)*125))/'General Info'!J8)*100)</f>
        <v>191.38686573388881</v>
      </c>
      <c r="K189" s="93">
        <f>IF(OR(K29="nd",'General Info'!K12="nd",'Equity Related Information'!K35="nd",'Equity Related Information'!K36="nd",'General Info'!K8="nd"),"nd",(((K29*'General Info'!K12)+(IF('Equity Related Information'!K35="NA",0,'Equity Related Information'!K35)*25)+(IF('Equity Related Information'!K36="NA",0,'Equity Related Information'!K36)*125))/'General Info'!K8)*100)</f>
        <v>189.43281699317538</v>
      </c>
    </row>
    <row r="190" spans="1:11">
      <c r="A190" s="83">
        <v>2</v>
      </c>
      <c r="B190" s="84" t="s">
        <v>225</v>
      </c>
      <c r="C190" s="83" t="s">
        <v>16</v>
      </c>
      <c r="D190" s="93">
        <f>IF(OR('General Info'!D22="nd",'Equity Related Information'!D55="nd",'General Info'!D22="nd"),"nd",IF('General Info'!D22=0,0,('Equity Related Information'!D55/'General Info'!D22)*100))</f>
        <v>0</v>
      </c>
      <c r="E190" s="93">
        <f>IF(OR('General Info'!E22="nd",'Equity Related Information'!E55="nd",'General Info'!E22="nd"),"nd",IF('General Info'!E22=0,0,('Equity Related Information'!E55/'General Info'!E22)*100))</f>
        <v>0</v>
      </c>
      <c r="F190" s="93">
        <f>IF(OR('General Info'!F22="nd",'Equity Related Information'!F55="nd",'General Info'!F22="nd"),"nd",IF('General Info'!F22=0,0,('Equity Related Information'!F55/'General Info'!F22)*100))</f>
        <v>0</v>
      </c>
      <c r="G190" s="93">
        <f>IF(OR('General Info'!G22="nd",'Equity Related Information'!G55="nd",'General Info'!G22="nd"),"nd",IF('General Info'!G22=0,0,('Equity Related Information'!G55/'General Info'!G22)*100))</f>
        <v>0</v>
      </c>
      <c r="H190" s="93">
        <f>IF(OR('General Info'!H22="nd",'Equity Related Information'!H55="nd",'General Info'!H22="nd"),"nd",IF('General Info'!H22=0,0,('Equity Related Information'!H55/'General Info'!H22)*100))</f>
        <v>0</v>
      </c>
      <c r="I190" s="93">
        <f>IF(OR('General Info'!I22="nd",'Equity Related Information'!I55="nd",'General Info'!I22="nd"),"nd",IF('General Info'!I22=0,0,('Equity Related Information'!I55/'General Info'!I22)*100))</f>
        <v>122.85714285714286</v>
      </c>
      <c r="J190" s="93">
        <f>IF(OR('General Info'!J22="nd",'Equity Related Information'!J55="nd",'General Info'!J22="nd"),"nd",IF('General Info'!J22=0,0,('Equity Related Information'!J55/'General Info'!J22)*100))</f>
        <v>85</v>
      </c>
      <c r="K190" s="93">
        <f>IF(OR('General Info'!K22="nd",'Equity Related Information'!K55="nd",'General Info'!K22="nd"),"nd",IF('General Info'!K22=0,0,('Equity Related Information'!K55/'General Info'!K22)*100))</f>
        <v>88.571428571428569</v>
      </c>
    </row>
    <row r="191" spans="1:11">
      <c r="A191" s="83">
        <v>3</v>
      </c>
      <c r="B191" s="84" t="s">
        <v>226</v>
      </c>
      <c r="C191" s="83" t="s">
        <v>227</v>
      </c>
      <c r="D191" s="93">
        <f>'Equity Related Information'!D87</f>
        <v>0</v>
      </c>
      <c r="E191" s="93">
        <f>'Equity Related Information'!E87</f>
        <v>0</v>
      </c>
      <c r="F191" s="93">
        <f>'Equity Related Information'!F87</f>
        <v>0</v>
      </c>
      <c r="G191" s="93">
        <f>'Equity Related Information'!G87</f>
        <v>0</v>
      </c>
      <c r="H191" s="93">
        <f>'Equity Related Information'!H87</f>
        <v>0</v>
      </c>
      <c r="I191" s="93" t="str">
        <f>'Equity Related Information'!I87</f>
        <v>YES</v>
      </c>
      <c r="J191" s="93" t="str">
        <f>'Equity Related Information'!J87</f>
        <v>YES</v>
      </c>
      <c r="K191" s="93" t="str">
        <f>'Equity Related Information'!K87</f>
        <v>YES</v>
      </c>
    </row>
    <row r="192" spans="1:11">
      <c r="A192" s="83">
        <v>4</v>
      </c>
      <c r="B192" s="84" t="s">
        <v>228</v>
      </c>
      <c r="C192" s="83" t="s">
        <v>16</v>
      </c>
      <c r="D192" s="93" t="e">
        <f>IF('Equity Related Information'!D89="na","na",IF(OR('Equity Related Information'!D89="nd",D66="nd"),"nd",'Equity Related Information'!D89/water!D66*100))</f>
        <v>#DIV/0!</v>
      </c>
      <c r="E192" s="93" t="e">
        <f>IF('Equity Related Information'!E89="na","na",IF(OR('Equity Related Information'!E89="nd",E66="nd"),"nd",'Equity Related Information'!E89/water!E66*100))</f>
        <v>#DIV/0!</v>
      </c>
      <c r="F192" s="93">
        <f>IF('Equity Related Information'!F89="na","na",IF(OR('Equity Related Information'!F89="nd",F66="nd"),"nd",'Equity Related Information'!F89/water!F66*100))</f>
        <v>0</v>
      </c>
      <c r="G192" s="93">
        <f>IF('Equity Related Information'!G89="na","na",IF(OR('Equity Related Information'!G89="nd",G66="nd"),"nd",'Equity Related Information'!G89/water!G66*100))</f>
        <v>0</v>
      </c>
      <c r="H192" s="93">
        <f>IF('Equity Related Information'!H89="na","na",IF(OR('Equity Related Information'!H89="nd",H66="nd"),"nd",'Equity Related Information'!H89/water!H66*100))</f>
        <v>0</v>
      </c>
      <c r="I192" s="93">
        <f>IF('Equity Related Information'!I89="na","na",IF(OR('Equity Related Information'!I89="nd",I66="nd"),"nd",'Equity Related Information'!I89/water!I66*100))</f>
        <v>8.6472056177819034</v>
      </c>
      <c r="J192" s="93">
        <f>IF('Equity Related Information'!J89="na","na",IF(OR('Equity Related Information'!J89="nd",J66="nd"),"nd",'Equity Related Information'!J89/water!J66*100))</f>
        <v>7.0584845865744743</v>
      </c>
      <c r="K192" s="93">
        <f>IF('Equity Related Information'!K89="na","na",IF(OR('Equity Related Information'!K89="nd",K66="nd"),"nd",'Equity Related Information'!K89/water!K66*100))</f>
        <v>6.0714597711190708</v>
      </c>
    </row>
    <row r="193" spans="1:16">
      <c r="A193" s="83">
        <v>5</v>
      </c>
      <c r="B193" s="84" t="s">
        <v>229</v>
      </c>
      <c r="C193" s="83" t="s">
        <v>16</v>
      </c>
      <c r="D193" s="93">
        <f>IF('Equity Related Information'!D90="na","na",IF('Equity Related Information'!D90="nd","nd",'Equity Related Information'!D90))</f>
        <v>0</v>
      </c>
      <c r="E193" s="93">
        <f>IF('Equity Related Information'!E90="na","na",IF('Equity Related Information'!E90="nd","nd",'Equity Related Information'!E90))</f>
        <v>0</v>
      </c>
      <c r="F193" s="93">
        <f>IF('Equity Related Information'!F90="na","na",IF('Equity Related Information'!F90="nd","nd",'Equity Related Information'!F90))</f>
        <v>0</v>
      </c>
      <c r="G193" s="93">
        <f>IF('Equity Related Information'!G90="na","na",IF('Equity Related Information'!G90="nd","nd",'Equity Related Information'!G90))</f>
        <v>0</v>
      </c>
      <c r="H193" s="93">
        <f>IF('Equity Related Information'!H90="na","na",IF('Equity Related Information'!H90="nd","nd",'Equity Related Information'!H90))</f>
        <v>0</v>
      </c>
      <c r="I193" s="93">
        <f>IF('Equity Related Information'!I90="na","na",IF('Equity Related Information'!I90="nd","nd",'Equity Related Information'!I90))</f>
        <v>15</v>
      </c>
      <c r="J193" s="93">
        <f>IF('Equity Related Information'!J90="na","na",IF('Equity Related Information'!J90="nd","nd",'Equity Related Information'!J90))</f>
        <v>12</v>
      </c>
      <c r="K193" s="93">
        <f>IF('Equity Related Information'!K90="na","na",IF('Equity Related Information'!K90="nd","nd",'Equity Related Information'!K90))</f>
        <v>5</v>
      </c>
    </row>
    <row r="194" spans="1:16" ht="25.5">
      <c r="A194" s="83">
        <v>6</v>
      </c>
      <c r="B194" s="94" t="s">
        <v>230</v>
      </c>
      <c r="C194" s="83" t="s">
        <v>16</v>
      </c>
      <c r="D194" s="93" t="e">
        <f>IF(OR(D39="nd",'Equity Related Information'!D69="nd"),"nd",IF(I194&gt;2000000,I194*150,IF('Equity Related Information'!D98="YES",I194*135,I194*70))*100/((D39+'Equity Related Information'!D69)*10^6))</f>
        <v>#DIV/0!</v>
      </c>
      <c r="E194" s="93" t="e">
        <f>IF(OR(E39="nd",'Equity Related Information'!E69="nd"),"nd",IF(J194&gt;2000000,J194*150,IF('Equity Related Information'!E98="YES",J194*135,J194*70))*100/((E39+'Equity Related Information'!E69)*10^6))</f>
        <v>#DIV/0!</v>
      </c>
      <c r="F194" s="93">
        <f>IF(OR(F39="nd",'Equity Related Information'!F69="nd"),"nd",IF(K194&gt;2000000,K194*150,IF('Equity Related Information'!F98="YES",K194*135,K194*70))*100/((F39+'Equity Related Information'!F69)*10^6))</f>
        <v>0</v>
      </c>
      <c r="G194" s="93">
        <f>IF(OR(G39="nd",'Equity Related Information'!G69="nd"),"nd",IF(L194&gt;2000000,L194*150,IF('Equity Related Information'!G98="YES",L194*135,L194*70))*100/((G39+'Equity Related Information'!G69)*10^6))</f>
        <v>0</v>
      </c>
      <c r="H194" s="93">
        <f>IF(OR(H39="nd",'Equity Related Information'!H69="nd"),"nd",IF(M194&gt;2000000,M194*150,IF('Equity Related Information'!H98="YES",M194*135,M194*70))*100/((H39+'Equity Related Information'!H69)*10^6))</f>
        <v>0</v>
      </c>
      <c r="I194" s="93">
        <f>IF(OR(I39="nd",'Equity Related Information'!I69="nd"),"nd",IF(N194&gt;2000000,N194*150,IF('Equity Related Information'!I98="YES",N194*135,N194*70))*100/((I39+'Equity Related Information'!I69)*10^6))</f>
        <v>0</v>
      </c>
      <c r="J194" s="93">
        <f>IF(OR(J39="nd",'Equity Related Information'!J69="nd"),"nd",IF(O194&gt;2000000,O194*150,IF('Equity Related Information'!J98="YES",O194*135,O194*70))/((J39+'Equity Related Information'!J69)*10^6))</f>
        <v>0</v>
      </c>
      <c r="K194" s="93">
        <f>IF(OR(K39="nd",'Equity Related Information'!K69="nd"),"nd",IF(P194&gt;2000000,P194*150,IF('Equity Related Information'!K98="YES",P194*135,P194*70))/((K39+'Equity Related Information'!K69)*10^6))</f>
        <v>0</v>
      </c>
      <c r="L194" s="1">
        <f>'General Info'!Q8</f>
        <v>0</v>
      </c>
      <c r="M194" s="1">
        <f>'General Info'!R8</f>
        <v>0</v>
      </c>
      <c r="N194" s="1">
        <f>'General Info'!S8</f>
        <v>0</v>
      </c>
      <c r="O194" s="1">
        <f>'General Info'!T8</f>
        <v>0</v>
      </c>
      <c r="P194" s="1">
        <f>'General Info'!U8</f>
        <v>0</v>
      </c>
    </row>
    <row r="195" spans="1:16">
      <c r="A195" s="83">
        <v>7</v>
      </c>
      <c r="B195" s="84" t="s">
        <v>231</v>
      </c>
      <c r="C195" s="83" t="s">
        <v>227</v>
      </c>
      <c r="D195" s="93">
        <f>'Equity Related Information'!D68</f>
        <v>0</v>
      </c>
      <c r="E195" s="93">
        <f>'Equity Related Information'!E68</f>
        <v>0</v>
      </c>
      <c r="F195" s="93">
        <f>'Equity Related Information'!F68</f>
        <v>0</v>
      </c>
      <c r="G195" s="93">
        <f>'Equity Related Information'!G68</f>
        <v>0</v>
      </c>
      <c r="H195" s="93">
        <f>'Equity Related Information'!H68</f>
        <v>0</v>
      </c>
      <c r="I195" s="93" t="str">
        <f>'Equity Related Information'!I68</f>
        <v>YES</v>
      </c>
      <c r="J195" s="93" t="str">
        <f>'Equity Related Information'!J68</f>
        <v>YES</v>
      </c>
      <c r="K195" s="93" t="str">
        <f>'Equity Related Information'!K68</f>
        <v>YES</v>
      </c>
    </row>
    <row r="196" spans="1:16">
      <c r="A196" s="83">
        <v>8</v>
      </c>
      <c r="B196" s="84" t="s">
        <v>232</v>
      </c>
      <c r="C196" s="83" t="s">
        <v>16</v>
      </c>
      <c r="D196" s="93" t="e">
        <f>IF(OR('General Info'!D8="nd",D39="nd"),"nd",(D39*10^6)/'General Info'!D8)</f>
        <v>#DIV/0!</v>
      </c>
      <c r="E196" s="93" t="e">
        <f>IF(OR('General Info'!E8="nd",E39="nd"),"nd",(E39*10^6)/'General Info'!E8)</f>
        <v>#DIV/0!</v>
      </c>
      <c r="F196" s="93">
        <f>IF(OR('General Info'!F8="nd",F39="nd"),"nd",(F39*10^6)/'General Info'!F8)</f>
        <v>93.749054949042858</v>
      </c>
      <c r="G196" s="93">
        <f>IF(OR('General Info'!G8="nd",G39="nd"),"nd",(G39*10^6)/'General Info'!G8)</f>
        <v>95.076858905941378</v>
      </c>
      <c r="H196" s="93">
        <f>IF(OR('General Info'!H8="nd",H39="nd"),"nd",(H39*10^6)/'General Info'!H8)</f>
        <v>132.65164288606462</v>
      </c>
      <c r="I196" s="93">
        <f>IF(OR('General Info'!I8="nd",I39="nd"),"nd",(I39*10^6)/'General Info'!I8)</f>
        <v>132.07170613164908</v>
      </c>
      <c r="J196" s="93">
        <f>IF(OR('General Info'!J8="nd",J39="nd"),"nd",(J39*10^6)/'General Info'!J8)</f>
        <v>130.12023109353044</v>
      </c>
      <c r="K196" s="93">
        <f>IF(OR('General Info'!K8="nd",K39="nd"),"nd",(K39*10^6)/'General Info'!K8)</f>
        <v>128.19709305969425</v>
      </c>
    </row>
    <row r="197" spans="1:16">
      <c r="A197" s="83">
        <v>9</v>
      </c>
      <c r="B197" s="84" t="s">
        <v>233</v>
      </c>
      <c r="C197" s="83" t="s">
        <v>234</v>
      </c>
      <c r="D197" s="93">
        <f>IF('Equity Related Information'!D66="nd","nd",'Equity Related Information'!D66)</f>
        <v>0</v>
      </c>
      <c r="E197" s="93">
        <f>IF('Equity Related Information'!E66="nd","nd",'Equity Related Information'!E66)</f>
        <v>0</v>
      </c>
      <c r="F197" s="93">
        <f>IF('Equity Related Information'!F66="nd","nd",'Equity Related Information'!F66)</f>
        <v>0</v>
      </c>
      <c r="G197" s="93">
        <f>IF('Equity Related Information'!G66="nd","nd",'Equity Related Information'!G66)</f>
        <v>0</v>
      </c>
      <c r="H197" s="93">
        <f>IF('Equity Related Information'!H66="nd","nd",'Equity Related Information'!H66)</f>
        <v>0</v>
      </c>
      <c r="I197" s="93">
        <f>IF('Equity Related Information'!I66="nd","nd",'Equity Related Information'!I66)</f>
        <v>0</v>
      </c>
      <c r="J197" s="93">
        <f>IF('Equity Related Information'!J66="nd","nd",'Equity Related Information'!J66)</f>
        <v>6</v>
      </c>
      <c r="K197" s="93">
        <f>IF('Equity Related Information'!K66="nd","nd",'Equity Related Information'!K66)</f>
        <v>6</v>
      </c>
    </row>
    <row r="198" spans="1:16">
      <c r="A198" s="83">
        <v>10</v>
      </c>
      <c r="B198" s="84" t="s">
        <v>235</v>
      </c>
      <c r="C198" s="83" t="s">
        <v>234</v>
      </c>
      <c r="D198" s="93">
        <f>IF('Equity Related Information'!D67="nd","nd",'Equity Related Information'!D67)</f>
        <v>0</v>
      </c>
      <c r="E198" s="93">
        <f>IF('Equity Related Information'!E67="nd","nd",'Equity Related Information'!E67)</f>
        <v>0</v>
      </c>
      <c r="F198" s="93">
        <f>IF('Equity Related Information'!F67="nd","nd",'Equity Related Information'!F67)</f>
        <v>0</v>
      </c>
      <c r="G198" s="93">
        <f>IF('Equity Related Information'!G67="nd","nd",'Equity Related Information'!G67)</f>
        <v>0</v>
      </c>
      <c r="H198" s="93">
        <f>IF('Equity Related Information'!H67="nd","nd",'Equity Related Information'!H67)</f>
        <v>0</v>
      </c>
      <c r="I198" s="93">
        <f>IF('Equity Related Information'!I67="nd","nd",'Equity Related Information'!I67)</f>
        <v>0</v>
      </c>
      <c r="J198" s="93">
        <f>IF('Equity Related Information'!J67="nd","nd",'Equity Related Information'!J67)</f>
        <v>3</v>
      </c>
      <c r="K198" s="93">
        <f>IF('Equity Related Information'!K67="nd","nd",'Equity Related Information'!K67)</f>
        <v>3</v>
      </c>
    </row>
    <row r="199" spans="1:16">
      <c r="A199" s="83">
        <v>11</v>
      </c>
      <c r="B199" s="84" t="s">
        <v>236</v>
      </c>
      <c r="C199" s="83" t="s">
        <v>237</v>
      </c>
      <c r="D199" s="93">
        <f>IF(water!D70="nd","nd",water!D70)</f>
        <v>0</v>
      </c>
      <c r="E199" s="93">
        <f>IF(water!E70="nd","nd",water!E70)</f>
        <v>0</v>
      </c>
      <c r="F199" s="93">
        <f>IF(water!F70="nd","nd",water!F70)</f>
        <v>30</v>
      </c>
      <c r="G199" s="93">
        <f>IF(water!G70="nd","nd",water!G70)</f>
        <v>30</v>
      </c>
      <c r="H199" s="93">
        <f>IF(water!H70="nd","nd",water!H70)</f>
        <v>30</v>
      </c>
      <c r="I199" s="93">
        <f>IF(water!I70="nd","nd",water!I70)</f>
        <v>30</v>
      </c>
      <c r="J199" s="93">
        <f>IF(water!J70="nd","nd",water!J70)</f>
        <v>30</v>
      </c>
      <c r="K199" s="93">
        <f>IF(water!K70="nd","nd",water!K70)</f>
        <v>30</v>
      </c>
    </row>
    <row r="200" spans="1:16">
      <c r="A200" s="83">
        <v>12</v>
      </c>
      <c r="B200" s="84" t="s">
        <v>238</v>
      </c>
      <c r="C200" s="83" t="s">
        <v>16</v>
      </c>
      <c r="D200" s="93" t="e">
        <f>IF(OR(D94="nd",'General Info'!D8="nd"),"nd",D94/IF('General Info'!D8&lt;=100000,('General Info'!D8*12)/5000,('General Info'!D8*12)/10000)*100)</f>
        <v>#DIV/0!</v>
      </c>
      <c r="E200" s="93" t="e">
        <f>IF(OR(E94="nd",'General Info'!E8="nd"),"nd",E94/IF('General Info'!E8&lt;=100000,('General Info'!E8*12)/5000,('General Info'!E8*12)/10000)*100)</f>
        <v>#DIV/0!</v>
      </c>
      <c r="F200" s="93">
        <f>IF(OR(F94="nd",'General Info'!F8="nd"),"nd",F94/IF('General Info'!F8&lt;=100000,('General Info'!F8*12)/5000,('General Info'!F8*12)/10000)*100)</f>
        <v>0</v>
      </c>
      <c r="G200" s="93">
        <f>IF(OR(G94="nd",'General Info'!G8="nd"),"nd",G94/IF('General Info'!G8&lt;=100000,('General Info'!G8*12)/5000,('General Info'!G8*12)/10000)*100)</f>
        <v>0</v>
      </c>
      <c r="H200" s="93">
        <f>IF(OR(H94="nd",'General Info'!H8="nd"),"nd",H94/IF('General Info'!H8&lt;=100000,('General Info'!H8*12)/5000,('General Info'!H8*12)/10000)*100)</f>
        <v>0</v>
      </c>
      <c r="I200" s="93">
        <f>IF(OR(I94="nd",'General Info'!I8="nd"),"nd",I94/IF('General Info'!I8&lt;=100000,('General Info'!I8*12)/5000,('General Info'!I8*12)/10000)*100)</f>
        <v>0</v>
      </c>
      <c r="J200" s="93">
        <f>IF(OR(J94="nd",'General Info'!J8="nd"),"nd",J94/IF('General Info'!J8&lt;=100000,('General Info'!J8*12)/5000,('General Info'!J8*12)/10000)*100)</f>
        <v>9.6385356365578083</v>
      </c>
      <c r="K200" s="93">
        <f>IF(OR(K94="nd",'General Info'!K8="nd"),"nd",K94/IF('General Info'!K8&lt;=100000,('General Info'!K8*12)/5000,('General Info'!K8*12)/10000)*100)</f>
        <v>9.4960809673847599</v>
      </c>
    </row>
    <row r="201" spans="1:16">
      <c r="A201" s="83">
        <v>13</v>
      </c>
      <c r="B201" s="84" t="s">
        <v>239</v>
      </c>
      <c r="C201" s="83" t="s">
        <v>16</v>
      </c>
      <c r="D201" s="93" t="e">
        <f>IF(OR('Equity Related Information'!D75="nd",'Equity Related Information'!D74="nd"),"nd",'Equity Related Information'!D75/'Equity Related Information'!D74*100)</f>
        <v>#DIV/0!</v>
      </c>
      <c r="E201" s="93" t="e">
        <f>IF(OR('Equity Related Information'!E75="nd",'Equity Related Information'!E74="nd"),"nd",'Equity Related Information'!E75/'Equity Related Information'!E74*100)</f>
        <v>#DIV/0!</v>
      </c>
      <c r="F201" s="93" t="e">
        <f>IF(OR('Equity Related Information'!F75="nd",'Equity Related Information'!F74="nd"),"nd",'Equity Related Information'!F75/'Equity Related Information'!F74*100)</f>
        <v>#DIV/0!</v>
      </c>
      <c r="G201" s="93" t="e">
        <f>IF(OR('Equity Related Information'!G75="nd",'Equity Related Information'!G74="nd"),"nd",'Equity Related Information'!G75/'Equity Related Information'!G74*100)</f>
        <v>#DIV/0!</v>
      </c>
      <c r="H201" s="93" t="e">
        <f>IF(OR('Equity Related Information'!H75="nd",'Equity Related Information'!H74="nd"),"nd",'Equity Related Information'!H75/'Equity Related Information'!H74*100)</f>
        <v>#DIV/0!</v>
      </c>
      <c r="I201" s="93">
        <f>IF(OR('Equity Related Information'!I75="nd",'Equity Related Information'!I74="nd"),"nd",'Equity Related Information'!I75/'Equity Related Information'!I74*100)</f>
        <v>120</v>
      </c>
      <c r="J201" s="93">
        <f>IF(OR('Equity Related Information'!J75="nd",'Equity Related Information'!J74="nd"),"nd",'Equity Related Information'!J75/'Equity Related Information'!J74*100)</f>
        <v>75</v>
      </c>
      <c r="K201" s="93">
        <f>IF(OR('Equity Related Information'!K75="nd",'Equity Related Information'!K74="nd"),"nd",'Equity Related Information'!K75/'Equity Related Information'!K74*100)</f>
        <v>50</v>
      </c>
    </row>
    <row r="202" spans="1:16">
      <c r="A202" s="83">
        <v>14</v>
      </c>
      <c r="B202" s="84" t="s">
        <v>240</v>
      </c>
      <c r="C202" s="83" t="s">
        <v>241</v>
      </c>
      <c r="D202" s="93" t="e">
        <f>IF(OR(D105="nd",'Equity Related Information'!D64="nd"),"nd",((D105/365)*(10^5))/('Equity Related Information'!D64*1000))</f>
        <v>#DIV/0!</v>
      </c>
      <c r="E202" s="93" t="e">
        <f>IF(OR(E105="nd",'Equity Related Information'!E64="nd"),"nd",((E105/365)*(10^5))/('Equity Related Information'!E64*1000))</f>
        <v>#DIV/0!</v>
      </c>
      <c r="F202" s="93" t="e">
        <f>IF(OR(F105="nd",'Equity Related Information'!F64="nd"),"nd",((F105/365)*(10^5))/('Equity Related Information'!F64*1000))</f>
        <v>#DIV/0!</v>
      </c>
      <c r="G202" s="93" t="e">
        <f>IF(OR(G105="nd",'Equity Related Information'!G64="nd"),"nd",((G105/365)*(10^5))/('Equity Related Information'!G64*1000))</f>
        <v>#DIV/0!</v>
      </c>
      <c r="H202" s="93" t="e">
        <f>IF(OR(H105="nd",'Equity Related Information'!H64="nd"),"nd",((H105/365)*(10^5))/('Equity Related Information'!H64*1000))</f>
        <v>#DIV/0!</v>
      </c>
      <c r="I202" s="93">
        <f>IF(OR(I105="nd",'Equity Related Information'!I64="nd"),"nd",((I105/365)*(10^5))/('Equity Related Information'!I64*1000))</f>
        <v>1.7153067301965454</v>
      </c>
      <c r="J202" s="93">
        <f>IF(OR(J105="nd",'Equity Related Information'!J64="nd"),"nd",((J105/365)*(10^5))/('Equity Related Information'!J64*1000))</f>
        <v>1.7867778439547348</v>
      </c>
      <c r="K202" s="93">
        <f>IF(OR(K105="nd",'Equity Related Information'!K64="nd"),"nd",((K105/365)*(10^5))/('Equity Related Information'!K64*1000))</f>
        <v>2.1441334127456817</v>
      </c>
    </row>
    <row r="203" spans="1:16">
      <c r="A203" s="83">
        <v>15</v>
      </c>
      <c r="B203" s="84" t="s">
        <v>242</v>
      </c>
      <c r="C203" s="83" t="s">
        <v>16</v>
      </c>
      <c r="D203" s="93" t="e">
        <f t="shared" ref="D203:K203" si="28">IF(OR(D141="nd",D140="nd"),"nd",D141/D140*100)</f>
        <v>#DIV/0!</v>
      </c>
      <c r="E203" s="93" t="e">
        <f t="shared" si="28"/>
        <v>#DIV/0!</v>
      </c>
      <c r="F203" s="93">
        <f t="shared" si="28"/>
        <v>96.296296296296291</v>
      </c>
      <c r="G203" s="93">
        <f t="shared" si="28"/>
        <v>100</v>
      </c>
      <c r="H203" s="93">
        <f t="shared" si="28"/>
        <v>100</v>
      </c>
      <c r="I203" s="93">
        <f t="shared" si="28"/>
        <v>100</v>
      </c>
      <c r="J203" s="93">
        <f t="shared" si="28"/>
        <v>100</v>
      </c>
      <c r="K203" s="93">
        <f t="shared" si="28"/>
        <v>100</v>
      </c>
    </row>
    <row r="204" spans="1:16">
      <c r="A204" s="83">
        <v>16</v>
      </c>
      <c r="B204" s="84" t="s">
        <v>243</v>
      </c>
      <c r="C204" s="83" t="s">
        <v>244</v>
      </c>
      <c r="D204" s="93" t="e">
        <f t="shared" ref="D204:K204" si="29">IF(OR(D141="nd",D66="nd"),"nd",D141/(D66/1000))</f>
        <v>#DIV/0!</v>
      </c>
      <c r="E204" s="93" t="e">
        <f t="shared" si="29"/>
        <v>#DIV/0!</v>
      </c>
      <c r="F204" s="93">
        <f t="shared" si="29"/>
        <v>2.2665853020660798</v>
      </c>
      <c r="G204" s="93">
        <f t="shared" si="29"/>
        <v>4.4056595780733705</v>
      </c>
      <c r="H204" s="93">
        <f t="shared" si="29"/>
        <v>3.8832051377791053</v>
      </c>
      <c r="I204" s="93">
        <f t="shared" si="29"/>
        <v>3.1919215367651321</v>
      </c>
      <c r="J204" s="93">
        <f t="shared" si="29"/>
        <v>2.6409296072217421</v>
      </c>
      <c r="K204" s="93">
        <f t="shared" si="29"/>
        <v>2.4023761684284093</v>
      </c>
    </row>
    <row r="205" spans="1:16">
      <c r="A205" s="83">
        <v>17</v>
      </c>
      <c r="B205" s="84" t="s">
        <v>245</v>
      </c>
      <c r="C205" s="83" t="s">
        <v>244</v>
      </c>
      <c r="D205" s="93" t="e">
        <f>IF(OR('Equity Related Information'!D215="nd",'General Info'!D8="nd"),"nd",'Equity Related Information'!D215/'General Info'!D8)</f>
        <v>#DIV/0!</v>
      </c>
      <c r="E205" s="93" t="e">
        <f>IF(OR('Equity Related Information'!E215="nd",'General Info'!E8="nd"),"nd",'Equity Related Information'!E215*10^5/'General Info'!E8)</f>
        <v>#DIV/0!</v>
      </c>
      <c r="F205" s="93">
        <f>IF(OR('Equity Related Information'!F215="nd",'General Info'!F8="nd"),"nd",'Equity Related Information'!F215*10^5/'General Info'!F8)</f>
        <v>0</v>
      </c>
      <c r="G205" s="93">
        <f>IF(OR('Equity Related Information'!G215="nd",'General Info'!G8="nd"),"nd",'Equity Related Information'!G215*10^5/'General Info'!G8)</f>
        <v>0</v>
      </c>
      <c r="H205" s="93">
        <f>IF(OR('Equity Related Information'!H215="nd",'General Info'!H8="nd"),"nd",'Equity Related Information'!H215*10^5/'General Info'!H8)</f>
        <v>0</v>
      </c>
      <c r="I205" s="93">
        <f>IF(OR('Equity Related Information'!I215="nd",'General Info'!I8="nd"),"nd",'Equity Related Information'!I215*10^5/'General Info'!I8)</f>
        <v>0</v>
      </c>
      <c r="J205" s="93">
        <f>IF(OR('Equity Related Information'!J215="nd",'General Info'!J8="nd"),"nd",'Equity Related Information'!J215*10^5/'General Info'!J8)</f>
        <v>1201.9812973854507</v>
      </c>
      <c r="K205" s="93">
        <f>IF(OR('Equity Related Information'!K215="nd",'General Info'!K8="nd"),"nd",'Equity Related Information'!K215*10^5/'General Info'!K8)</f>
        <v>1372.6547054030802</v>
      </c>
    </row>
    <row r="206" spans="1:16">
      <c r="A206" s="83">
        <v>18</v>
      </c>
      <c r="B206" s="84" t="s">
        <v>246</v>
      </c>
      <c r="C206" s="83" t="s">
        <v>227</v>
      </c>
      <c r="D206" s="93">
        <f>'Equity Related Information'!D73</f>
        <v>0</v>
      </c>
      <c r="E206" s="93">
        <f>'Equity Related Information'!E73</f>
        <v>0</v>
      </c>
      <c r="F206" s="93">
        <f>'Equity Related Information'!F73</f>
        <v>0</v>
      </c>
      <c r="G206" s="93">
        <f>'Equity Related Information'!G73</f>
        <v>0</v>
      </c>
      <c r="H206" s="93">
        <f>'Equity Related Information'!H73</f>
        <v>0</v>
      </c>
      <c r="I206" s="93" t="str">
        <f>'Equity Related Information'!I73</f>
        <v>NO</v>
      </c>
      <c r="J206" s="93" t="str">
        <f>'Equity Related Information'!J73</f>
        <v>NO</v>
      </c>
      <c r="K206" s="93" t="str">
        <f>'Equity Related Information'!K73</f>
        <v>NO</v>
      </c>
    </row>
    <row r="207" spans="1:16">
      <c r="A207" s="83">
        <v>19</v>
      </c>
      <c r="B207" s="84" t="s">
        <v>247</v>
      </c>
      <c r="C207" s="83" t="s">
        <v>199</v>
      </c>
      <c r="D207" s="93" t="e">
        <f t="shared" ref="D207:K207" si="30">IF(OR(D122="nd",D66="nd"),"nd",D122*100000/D66)</f>
        <v>#DIV/0!</v>
      </c>
      <c r="E207" s="93" t="e">
        <f t="shared" si="30"/>
        <v>#DIV/0!</v>
      </c>
      <c r="F207" s="93">
        <f t="shared" si="30"/>
        <v>104.52445296835498</v>
      </c>
      <c r="G207" s="93">
        <f t="shared" si="30"/>
        <v>840.46428874015078</v>
      </c>
      <c r="H207" s="93">
        <f t="shared" si="30"/>
        <v>858.78575162422521</v>
      </c>
      <c r="I207" s="93">
        <f t="shared" si="30"/>
        <v>859.6134873193663</v>
      </c>
      <c r="J207" s="93">
        <f t="shared" si="30"/>
        <v>786.46883703063475</v>
      </c>
      <c r="K207" s="93">
        <f t="shared" si="30"/>
        <v>855.63903206080192</v>
      </c>
    </row>
    <row r="208" spans="1:16">
      <c r="A208" s="83">
        <v>20</v>
      </c>
      <c r="B208" s="84" t="s">
        <v>248</v>
      </c>
      <c r="C208" s="83" t="s">
        <v>244</v>
      </c>
      <c r="D208" s="93" t="e">
        <f>IF(OR('Equity Related Information'!D209="nd",'General Info'!D8="nd"),"nd",'Equity Related Information'!D209*10^5/'General Info'!D8)</f>
        <v>#DIV/0!</v>
      </c>
      <c r="E208" s="93" t="e">
        <f>IF(OR('Equity Related Information'!E209="nd",'General Info'!E8="nd"),"nd",'Equity Related Information'!E209*10^5/'General Info'!E8)</f>
        <v>#DIV/0!</v>
      </c>
      <c r="F208" s="93">
        <f>IF(OR('Equity Related Information'!F209="nd",'General Info'!F8="nd"),"nd",'Equity Related Information'!F209*10^5/'General Info'!F8)</f>
        <v>0</v>
      </c>
      <c r="G208" s="93">
        <f>IF(OR('Equity Related Information'!G209="nd",'General Info'!G8="nd"),"nd",'Equity Related Information'!G209*10^5/'General Info'!G8)</f>
        <v>0</v>
      </c>
      <c r="H208" s="93">
        <f>IF(OR('Equity Related Information'!H209="nd",'General Info'!H8="nd"),"nd",'Equity Related Information'!H209*10^5/'General Info'!H8)</f>
        <v>0</v>
      </c>
      <c r="I208" s="93">
        <f>IF(OR('Equity Related Information'!I209="nd",'General Info'!I8="nd"),"nd",'Equity Related Information'!I209*10^5/'General Info'!I8)</f>
        <v>0</v>
      </c>
      <c r="J208" s="93">
        <f>IF(OR('Equity Related Information'!J209="nd",'General Info'!J8="nd"),"nd",'Equity Related Information'!J209*10^5/'General Info'!J8)</f>
        <v>539.35124944337451</v>
      </c>
      <c r="K208" s="93">
        <f>IF(OR('Equity Related Information'!K209="nd",'General Info'!K8="nd"),"nd",'Equity Related Information'!K209*10^5/'General Info'!K8)</f>
        <v>1223.6554973762329</v>
      </c>
    </row>
    <row r="209" spans="1:11">
      <c r="A209" s="83">
        <v>21</v>
      </c>
      <c r="B209" s="84" t="s">
        <v>249</v>
      </c>
      <c r="C209" s="83" t="s">
        <v>227</v>
      </c>
      <c r="D209" s="93">
        <f>'Equity Related Information'!D72</f>
        <v>0</v>
      </c>
      <c r="E209" s="93">
        <f>'Equity Related Information'!E72</f>
        <v>0</v>
      </c>
      <c r="F209" s="93">
        <f>'Equity Related Information'!F72</f>
        <v>0</v>
      </c>
      <c r="G209" s="93">
        <f>'Equity Related Information'!G72</f>
        <v>0</v>
      </c>
      <c r="H209" s="93">
        <f>'Equity Related Information'!H72</f>
        <v>0</v>
      </c>
      <c r="I209" s="93" t="str">
        <f>'Equity Related Information'!I72</f>
        <v>NO</v>
      </c>
      <c r="J209" s="93" t="str">
        <f>'Equity Related Information'!J72</f>
        <v>NO</v>
      </c>
      <c r="K209" s="93" t="str">
        <f>'Equity Related Information'!K72</f>
        <v>NO</v>
      </c>
    </row>
    <row r="210" spans="1:11">
      <c r="A210" s="83">
        <v>22</v>
      </c>
      <c r="B210" s="84" t="s">
        <v>250</v>
      </c>
      <c r="C210" s="83" t="s">
        <v>16</v>
      </c>
      <c r="D210" s="93" t="e">
        <f>IF(OR('Equity Related Information'!D64="nd",water!D39="nd"),"nd",('Equity Related Information'!D64-water!D39)/'Equity Related Information'!D64*100)</f>
        <v>#DIV/0!</v>
      </c>
      <c r="E210" s="93" t="e">
        <f>IF(OR('Equity Related Information'!E64="nd",water!E39="nd"),"nd",('Equity Related Information'!E64-water!E39)/'Equity Related Information'!E64*100)</f>
        <v>#DIV/0!</v>
      </c>
      <c r="F210" s="93" t="e">
        <f>IF(OR('Equity Related Information'!F64="nd",water!F39="nd"),"nd",('Equity Related Information'!F64-water!F39)/'Equity Related Information'!F64*100)</f>
        <v>#DIV/0!</v>
      </c>
      <c r="G210" s="93" t="e">
        <f>IF(OR('Equity Related Information'!G64="nd",water!G39="nd"),"nd",('Equity Related Information'!G64-water!G39)/'Equity Related Information'!G64*100)</f>
        <v>#DIV/0!</v>
      </c>
      <c r="H210" s="93" t="e">
        <f>IF(OR('Equity Related Information'!H64="nd",water!H39="nd"),"nd",('Equity Related Information'!H64-water!H39)/'Equity Related Information'!H64*100)</f>
        <v>#DIV/0!</v>
      </c>
      <c r="I210" s="93">
        <f>IF(OR('Equity Related Information'!I64="nd",water!I39="nd"),"nd",('Equity Related Information'!I64-water!I39)/'Equity Related Information'!I64*100)</f>
        <v>2.1739130434782608</v>
      </c>
      <c r="J210" s="93">
        <f>IF(OR('Equity Related Information'!J64="nd",water!J39="nd"),"nd",('Equity Related Information'!J64-water!J39)/'Equity Related Information'!J64*100)</f>
        <v>2.1739130434782608</v>
      </c>
      <c r="K210" s="93">
        <f>IF(OR('Equity Related Information'!K64="nd",water!K39="nd"),"nd",('Equity Related Information'!K64-water!K39)/'Equity Related Information'!K64*100)</f>
        <v>2.1739130434782608</v>
      </c>
    </row>
    <row r="211" spans="1:11">
      <c r="A211" s="83">
        <v>23</v>
      </c>
      <c r="B211" s="84" t="s">
        <v>251</v>
      </c>
      <c r="C211" s="83" t="s">
        <v>16</v>
      </c>
      <c r="D211" s="93" t="e">
        <f>IF('Equity Related Information'!D65="na",0,IF(OR(D39="nd",'Equity Related Information'!D59="nd",'Equity Related Information'!D62="nd",'Equity Related Information'!D65="nd",'Equity Related Information'!D64="nd"),"nd",(SUM(D39,'Equity Related Information'!D59,'Equity Related Information'!D62)-'Equity Related Information'!D65)/'Equity Related Information'!D64*100))</f>
        <v>#DIV/0!</v>
      </c>
      <c r="E211" s="93" t="e">
        <f>IF('Equity Related Information'!E65="na",0,IF(OR(E39="nd",'Equity Related Information'!E59="nd",'Equity Related Information'!E62="nd",'Equity Related Information'!E65="nd",'Equity Related Information'!E64="nd"),"nd",(E39-'Equity Related Information'!E65)/E39*100))</f>
        <v>#DIV/0!</v>
      </c>
      <c r="F211" s="93">
        <f>IF('Equity Related Information'!F65="na",0,IF(OR(F39="nd",'Equity Related Information'!F59="nd",'Equity Related Information'!F62="nd",'Equity Related Information'!F65="nd",'Equity Related Information'!F64="nd"),"nd",(F39-'Equity Related Information'!F65)/F39*100))</f>
        <v>100</v>
      </c>
      <c r="G211" s="93">
        <f>IF('Equity Related Information'!G65="na",0,IF(OR(G39="nd",'Equity Related Information'!G59="nd",'Equity Related Information'!G62="nd",'Equity Related Information'!G65="nd",'Equity Related Information'!G64="nd"),"nd",(G39-'Equity Related Information'!G65)/G39*100))</f>
        <v>100</v>
      </c>
      <c r="H211" s="93">
        <f>IF('Equity Related Information'!H65="na",0,IF(OR(H39="nd",'Equity Related Information'!H59="nd",'Equity Related Information'!H62="nd",'Equity Related Information'!H65="nd",'Equity Related Information'!H64="nd"),"nd",(H39-'Equity Related Information'!H65)/H39*100))</f>
        <v>100</v>
      </c>
      <c r="I211" s="93">
        <f>IF('Equity Related Information'!I65="na",0,IF(OR(I39="nd",'Equity Related Information'!I59="nd",'Equity Related Information'!I62="nd",'Equity Related Information'!I65="nd",'Equity Related Information'!I64="nd"),"nd",(I39-'Equity Related Information'!I65)/I39*100))</f>
        <v>0</v>
      </c>
      <c r="J211" s="93">
        <f>IF('Equity Related Information'!J65="na",0,IF(OR(J39="nd",'Equity Related Information'!J59="nd",'Equity Related Information'!J62="nd",'Equity Related Information'!J65="nd",'Equity Related Information'!J64="nd"),"nd",(J39-'Equity Related Information'!J65)/J39*100))</f>
        <v>0</v>
      </c>
      <c r="K211" s="93">
        <f>IF('Equity Related Information'!K65="na",0,IF(OR(K39="nd",'Equity Related Information'!K59="nd",'Equity Related Information'!K62="nd",'Equity Related Information'!K65="nd",'Equity Related Information'!K64="nd"),"nd",(K39-'Equity Related Information'!K65)/K39*100))</f>
        <v>0</v>
      </c>
    </row>
    <row r="212" spans="1:11" ht="25.5">
      <c r="A212" s="83">
        <v>24</v>
      </c>
      <c r="B212" s="94" t="s">
        <v>252</v>
      </c>
      <c r="C212" s="83" t="s">
        <v>16</v>
      </c>
      <c r="D212" s="93" t="e">
        <f>IF('Equity Related Information'!D65="na",0,IF(OR('Equity Related Information'!D65="nd",D48="nd",water!D49="nd",water!D50="nd"),"nd",('Equity Related Information'!D65-SUM(D48,water!D49,water!D50))/'Equity Related Information'!D65*100))</f>
        <v>#VALUE!</v>
      </c>
      <c r="E212" s="93" t="e">
        <f>IF('Equity Related Information'!E65="na",0,IF(OR('Equity Related Information'!E65="nd",E48="nd",water!E49="nd",water!E50="nd"),"nd",('Equity Related Information'!E65-SUM(E48,water!E49,water!E50))/'Equity Related Information'!E65*100))</f>
        <v>#VALUE!</v>
      </c>
      <c r="F212" s="93" t="e">
        <f>IF('Equity Related Information'!F65="na",0,IF(OR('Equity Related Information'!F65="nd",F48="nd",water!F49="nd",water!F50="nd"),"nd",('Equity Related Information'!F65-SUM(F48,water!F49,water!F50))/'Equity Related Information'!F65*100))</f>
        <v>#VALUE!</v>
      </c>
      <c r="G212" s="93" t="e">
        <f>IF('Equity Related Information'!G65="na",0,IF(OR('Equity Related Information'!G65="nd",G48="nd",water!G49="nd",water!G50="nd"),"nd",('Equity Related Information'!G65-SUM(G48,water!G49,water!G50))/'Equity Related Information'!G65*100))</f>
        <v>#VALUE!</v>
      </c>
      <c r="H212" s="93" t="e">
        <f>IF('Equity Related Information'!H65="na",0,IF(OR('Equity Related Information'!H65="nd",H48="nd",water!H49="nd",water!H50="nd"),"nd",('Equity Related Information'!H65-SUM(H48,water!H49,water!H50))/'Equity Related Information'!H65*100))</f>
        <v>#VALUE!</v>
      </c>
      <c r="I212" s="93" t="e">
        <f>IF('Equity Related Information'!I65="na",0,IF(OR('Equity Related Information'!I65="nd",I48="nd",water!I49="nd",water!I50="nd"),"nd",('Equity Related Information'!I65-SUM(I48,water!I49,water!I50))/'Equity Related Information'!I65*100))</f>
        <v>#VALUE!</v>
      </c>
      <c r="J212" s="93" t="e">
        <f>IF('Equity Related Information'!J65="na",0,IF(OR('Equity Related Information'!J65="nd",J48="nd",water!J49="nd",water!J50="nd"),"nd",('Equity Related Information'!J65-SUM(J48,water!J49,water!J50))/'Equity Related Information'!J65*100))</f>
        <v>#VALUE!</v>
      </c>
      <c r="K212" s="93">
        <f>IF('Equity Related Information'!K65="na",0,IF(OR('Equity Related Information'!K65="nd",K48="nd",water!K49="nd",water!K50="nd"),"nd",('Equity Related Information'!K65-SUM(K48,water!K49,water!K50))/'Equity Related Information'!K65*100))</f>
        <v>0</v>
      </c>
    </row>
    <row r="213" spans="1:11">
      <c r="A213" s="83">
        <v>25</v>
      </c>
      <c r="B213" s="84" t="s">
        <v>253</v>
      </c>
      <c r="C213" s="83" t="s">
        <v>244</v>
      </c>
      <c r="D213" s="93" t="e">
        <f>IF('Equity Related Information'!D54="na","na",IF(OR('Equity Related Information'!D54="nd",'Equity Related Information'!D50="nd",'Equity Related Information'!D51="nd",'Equity Related Information'!D53="nd"),"nd",'Equity Related Information'!D54/SUM('Equity Related Information'!D50,'Equity Related Information'!D51,'Equity Related Information'!D53)))</f>
        <v>#DIV/0!</v>
      </c>
      <c r="E213" s="93" t="e">
        <f>IF('Equity Related Information'!E54="na","na",IF(OR('Equity Related Information'!E54="nd",'Equity Related Information'!E50="nd",'Equity Related Information'!E51="nd",'Equity Related Information'!E53="nd"),"nd",'Equity Related Information'!E54/SUM('Equity Related Information'!E50,'Equity Related Information'!E51,'Equity Related Information'!E53)))</f>
        <v>#DIV/0!</v>
      </c>
      <c r="F213" s="93" t="e">
        <f>IF('Equity Related Information'!F54="na","na",IF(OR('Equity Related Information'!F54="nd",'Equity Related Information'!F50="nd",'Equity Related Information'!F51="nd",'Equity Related Information'!F53="nd"),"nd",'Equity Related Information'!F54/SUM('Equity Related Information'!F50,'Equity Related Information'!F51,'Equity Related Information'!F53)))</f>
        <v>#DIV/0!</v>
      </c>
      <c r="G213" s="93" t="e">
        <f>IF('Equity Related Information'!G54="na","na",IF(OR('Equity Related Information'!G54="nd",'Equity Related Information'!G50="nd",'Equity Related Information'!G51="nd",'Equity Related Information'!G53="nd"),"nd",'Equity Related Information'!G54/SUM('Equity Related Information'!G50,'Equity Related Information'!G51,'Equity Related Information'!G53)))</f>
        <v>#DIV/0!</v>
      </c>
      <c r="H213" s="93" t="e">
        <f>IF('Equity Related Information'!H54="na","na",IF(OR('Equity Related Information'!H54="nd",'Equity Related Information'!H50="nd",'Equity Related Information'!H51="nd",'Equity Related Information'!H53="nd"),"nd",'Equity Related Information'!H54/SUM('Equity Related Information'!H50,'Equity Related Information'!H51,'Equity Related Information'!H53)))</f>
        <v>#DIV/0!</v>
      </c>
      <c r="I213" s="93">
        <f>IF('Equity Related Information'!I54="na","na",IF(OR('Equity Related Information'!I54="nd",'Equity Related Information'!I50="nd",'Equity Related Information'!I51="nd",'Equity Related Information'!I53="nd"),"nd",'Equity Related Information'!I54/SUM('Equity Related Information'!I50,'Equity Related Information'!I51,'Equity Related Information'!I53)))</f>
        <v>2.2328303048968281</v>
      </c>
      <c r="J213" s="93">
        <f>IF('Equity Related Information'!J54="na","na",IF(OR('Equity Related Information'!J54="nd",'Equity Related Information'!J50="nd",'Equity Related Information'!J51="nd",'Equity Related Information'!J53="nd"),"nd",'Equity Related Information'!J54/SUM('Equity Related Information'!J50,'Equity Related Information'!J51,'Equity Related Information'!J53)))</f>
        <v>1.9126412240903834</v>
      </c>
      <c r="K213" s="93">
        <f>IF('Equity Related Information'!K54="na","na",IF(OR('Equity Related Information'!K54="nd",'Equity Related Information'!K50="nd",'Equity Related Information'!K51="nd",'Equity Related Information'!K53="nd"),"nd",'Equity Related Information'!K54/SUM('Equity Related Information'!K50,'Equity Related Information'!K51,'Equity Related Information'!K53)))</f>
        <v>1.5899581589958158</v>
      </c>
    </row>
    <row r="214" spans="1:11">
      <c r="A214" s="83">
        <v>26</v>
      </c>
      <c r="B214" s="84" t="s">
        <v>254</v>
      </c>
      <c r="C214" s="83" t="s">
        <v>255</v>
      </c>
      <c r="D214" s="93" t="e">
        <f>IF('Equity Related Information'!D52="na","na",IF(OR('Equity Related Information'!D52="nd",'Equity Related Information'!D50="nd",'Equity Related Information'!D51="nd"),"nd",'Equity Related Information'!D52/SUM('Equity Related Information'!D50,'Equity Related Information'!D51)*100))</f>
        <v>#DIV/0!</v>
      </c>
      <c r="E214" s="93" t="e">
        <f>IF('Equity Related Information'!E52="na","na",IF(OR('Equity Related Information'!E52="nd",'Equity Related Information'!E50="nd",'Equity Related Information'!E51="nd"),"nd",'Equity Related Information'!E52/SUM('Equity Related Information'!E50,'Equity Related Information'!E51)*100))</f>
        <v>#DIV/0!</v>
      </c>
      <c r="F214" s="93" t="e">
        <f>IF('Equity Related Information'!F52="na","na",IF(OR('Equity Related Information'!F52="nd",'Equity Related Information'!F50="nd",'Equity Related Information'!F51="nd"),"nd",'Equity Related Information'!F52/SUM('Equity Related Information'!F50,'Equity Related Information'!F51)*100))</f>
        <v>#DIV/0!</v>
      </c>
      <c r="G214" s="93" t="e">
        <f>IF('Equity Related Information'!G52="na","na",IF(OR('Equity Related Information'!G52="nd",'Equity Related Information'!G50="nd",'Equity Related Information'!G51="nd"),"nd",'Equity Related Information'!G52/SUM('Equity Related Information'!G50,'Equity Related Information'!G51)*100))</f>
        <v>#DIV/0!</v>
      </c>
      <c r="H214" s="93" t="e">
        <f>IF('Equity Related Information'!H52="na","na",IF(OR('Equity Related Information'!H52="nd",'Equity Related Information'!H50="nd",'Equity Related Information'!H51="nd"),"nd",'Equity Related Information'!H52/SUM('Equity Related Information'!H50,'Equity Related Information'!H51)*100))</f>
        <v>#DIV/0!</v>
      </c>
      <c r="I214" s="93">
        <f>IF('Equity Related Information'!I52="na","na",IF(OR('Equity Related Information'!I52="nd",'Equity Related Information'!I50="nd",'Equity Related Information'!I51="nd"),"nd",'Equity Related Information'!I52/SUM('Equity Related Information'!I50,'Equity Related Information'!I51)*100))</f>
        <v>0</v>
      </c>
      <c r="J214" s="93">
        <f>IF('Equity Related Information'!J52="na","na",IF(OR('Equity Related Information'!J52="nd",'Equity Related Information'!J50="nd",'Equity Related Information'!J51="nd"),"nd",'Equity Related Information'!J52/SUM('Equity Related Information'!J50,'Equity Related Information'!J51)*100))</f>
        <v>0</v>
      </c>
      <c r="K214" s="93">
        <f>IF('Equity Related Information'!K52="na","na",IF(OR('Equity Related Information'!K52="nd",'Equity Related Information'!K50="nd",'Equity Related Information'!K51="nd"),"nd",'Equity Related Information'!K52/SUM('Equity Related Information'!K50,'Equity Related Information'!K51)*100))</f>
        <v>0</v>
      </c>
    </row>
    <row r="215" spans="1:11">
      <c r="A215" s="83">
        <v>27</v>
      </c>
      <c r="B215" s="84" t="s">
        <v>256</v>
      </c>
      <c r="C215" s="83" t="s">
        <v>16</v>
      </c>
      <c r="D215" s="93" t="e">
        <f>IF(AND(D49="na",D50="na"),"na",IF(OR(D49="nd",D50="nd",'Equity Related Information'!D64="nd"),"nd",SUM(D49,D50)/('Equity Related Information'!D64*100)))</f>
        <v>#DIV/0!</v>
      </c>
      <c r="E215" s="93" t="e">
        <f>IF(AND(E49="na",E50="na"),"na",IF(OR(E49="nd",E50="nd",'Equity Related Information'!E64="nd"),"nd",SUM(E49,E50)/('Equity Related Information'!E64*100)))</f>
        <v>#DIV/0!</v>
      </c>
      <c r="F215" s="93" t="e">
        <f>IF(AND(F49="na",F50="na"),"na",IF(OR(F49="nd",F50="nd",'Equity Related Information'!F64="nd"),"nd",SUM(F49,F50)/('Equity Related Information'!F64*100)))</f>
        <v>#DIV/0!</v>
      </c>
      <c r="G215" s="93" t="e">
        <f>IF(AND(G49="na",G50="na"),"na",IF(OR(G49="nd",G50="nd",'Equity Related Information'!G64="nd"),"nd",SUM(G49,G50)/('Equity Related Information'!G64*100)))</f>
        <v>#DIV/0!</v>
      </c>
      <c r="H215" s="93" t="e">
        <f>IF(AND(H49="na",H50="na"),"na",IF(OR(H49="nd",H50="nd",'Equity Related Information'!H64="nd"),"nd",SUM(H49,H50)/('Equity Related Information'!H64*100)))</f>
        <v>#DIV/0!</v>
      </c>
      <c r="I215" s="93">
        <f>IF(AND(I49="na",I50="na"),"na",IF(OR(I49="nd",I50="nd",'Equity Related Information'!I64="nd"),"nd",SUM(I49,I50)/('Equity Related Information'!I64*100)))</f>
        <v>3.4782608695652175E-3</v>
      </c>
      <c r="J215" s="93">
        <f>IF(AND(J49="na",J50="na"),"na",IF(OR(J49="nd",J50="nd",'Equity Related Information'!J64="nd"),"nd",SUM(J49,J50)/('Equity Related Information'!J64*100)))</f>
        <v>2.8695652173913043E-3</v>
      </c>
      <c r="K215" s="93">
        <f>IF(AND(K49="na",K50="na"),"na",IF(OR(K49="nd",K50="nd",'Equity Related Information'!K64="nd"),"nd",SUM(K49,K50)/('Equity Related Information'!K64*100)))</f>
        <v>2.239130434782609E-3</v>
      </c>
    </row>
    <row r="216" spans="1:11">
      <c r="A216" s="83">
        <v>28</v>
      </c>
      <c r="B216" s="84" t="s">
        <v>257</v>
      </c>
      <c r="C216" s="83" t="s">
        <v>227</v>
      </c>
      <c r="D216" s="93">
        <f>'Equity Related Information'!D85</f>
        <v>0</v>
      </c>
      <c r="E216" s="93">
        <f>'Equity Related Information'!E85</f>
        <v>0</v>
      </c>
      <c r="F216" s="93">
        <f>'Equity Related Information'!F85</f>
        <v>0</v>
      </c>
      <c r="G216" s="93">
        <f>'Equity Related Information'!G85</f>
        <v>0</v>
      </c>
      <c r="H216" s="93">
        <f>'Equity Related Information'!H85</f>
        <v>0</v>
      </c>
      <c r="I216" s="93" t="str">
        <f>'Equity Related Information'!I85</f>
        <v>YES</v>
      </c>
      <c r="J216" s="93" t="str">
        <f>'Equity Related Information'!J85</f>
        <v>YES</v>
      </c>
      <c r="K216" s="93" t="str">
        <f>'Equity Related Information'!K85</f>
        <v>YES</v>
      </c>
    </row>
    <row r="217" spans="1:11">
      <c r="A217" s="83">
        <v>29</v>
      </c>
      <c r="B217" s="84" t="s">
        <v>258</v>
      </c>
      <c r="C217" s="83" t="s">
        <v>244</v>
      </c>
      <c r="D217" s="93" t="e">
        <f t="shared" ref="D217:K217" si="31">IF(OR(D75="nd",D66="nd"),"nd",D75/(D66/1000))</f>
        <v>#DIV/0!</v>
      </c>
      <c r="E217" s="93" t="e">
        <f t="shared" si="31"/>
        <v>#DIV/0!</v>
      </c>
      <c r="F217" s="93">
        <f t="shared" si="31"/>
        <v>78.458721994595066</v>
      </c>
      <c r="G217" s="93">
        <f t="shared" si="31"/>
        <v>82.182495975599423</v>
      </c>
      <c r="H217" s="93">
        <f t="shared" si="31"/>
        <v>83.638264506011495</v>
      </c>
      <c r="I217" s="93">
        <f t="shared" si="31"/>
        <v>54.552840810167716</v>
      </c>
      <c r="J217" s="93">
        <f t="shared" si="31"/>
        <v>51.858254105445113</v>
      </c>
      <c r="K217" s="93">
        <f t="shared" si="31"/>
        <v>50.231501703503106</v>
      </c>
    </row>
    <row r="218" spans="1:11">
      <c r="A218" s="83">
        <v>30</v>
      </c>
      <c r="B218" s="84" t="s">
        <v>259</v>
      </c>
      <c r="C218" s="83" t="s">
        <v>16</v>
      </c>
      <c r="D218" s="93">
        <f>IF('Equity Related Information'!D78="na","na",IF('Equity Related Information'!D78="nd","nd",'Equity Related Information'!D78))</f>
        <v>0</v>
      </c>
      <c r="E218" s="93">
        <f>IF('Equity Related Information'!E78="na","na",IF('Equity Related Information'!E78="nd","nd",'Equity Related Information'!E78))</f>
        <v>0</v>
      </c>
      <c r="F218" s="93">
        <f>IF('Equity Related Information'!F78="na","na",IF('Equity Related Information'!F78="nd","nd",'Equity Related Information'!F78))</f>
        <v>0</v>
      </c>
      <c r="G218" s="93">
        <f>IF('Equity Related Information'!G78="na","na",IF('Equity Related Information'!G78="nd","nd",'Equity Related Information'!G78))</f>
        <v>0</v>
      </c>
      <c r="H218" s="93">
        <f>IF('Equity Related Information'!H78="na","na",IF('Equity Related Information'!H78="nd","nd",'Equity Related Information'!H78))</f>
        <v>0</v>
      </c>
      <c r="I218" s="93">
        <f>IF('Equity Related Information'!I78="na","na",IF('Equity Related Information'!I78="nd","nd",'Equity Related Information'!I78))</f>
        <v>0</v>
      </c>
      <c r="J218" s="93" t="str">
        <f>IF('Equity Related Information'!J78="na","na",IF('Equity Related Information'!J78="nd","nd",'Equity Related Information'!J78))</f>
        <v>na</v>
      </c>
      <c r="K218" s="93" t="str">
        <f>IF('Equity Related Information'!K78="na","na",IF('Equity Related Information'!K78="nd","nd",'Equity Related Information'!K78))</f>
        <v>na</v>
      </c>
    </row>
    <row r="219" spans="1:11">
      <c r="A219" s="83">
        <v>31</v>
      </c>
      <c r="B219" s="84" t="s">
        <v>260</v>
      </c>
      <c r="C219" s="83" t="s">
        <v>199</v>
      </c>
      <c r="D219" s="93" t="e">
        <f>IF(OR('Equity Related Information'!D64="nd",water!D48="nd",water!D49="nd",water!D50="nd",water!D110="nd"),"nd",('Equity Related Information'!D64-SUM(water!D48,water!D49,water!D50))/(water!D110/'Equity Related Information'!D64))</f>
        <v>#VALUE!</v>
      </c>
      <c r="E219" s="93" t="e">
        <f>IF(OR('Equity Related Information'!E64="nd",water!E48="nd",water!E49="nd",water!E50="nd",water!E110="nd"),"nd",('Equity Related Information'!E64-SUM(water!E48,water!E49,water!E50))/(water!E110/'Equity Related Information'!E64))</f>
        <v>#VALUE!</v>
      </c>
      <c r="F219" s="93" t="e">
        <f>IF(OR('Equity Related Information'!F64="nd",water!F48="nd",water!F49="nd",water!F50="nd",water!F110="nd"),"nd",('Equity Related Information'!F64-SUM(water!F48,water!F49,water!F50))/(water!F110/'Equity Related Information'!F64))</f>
        <v>#VALUE!</v>
      </c>
      <c r="G219" s="93" t="e">
        <f>IF(OR('Equity Related Information'!G64="nd",water!G48="nd",water!G49="nd",water!G50="nd",water!G110="nd"),"nd",('Equity Related Information'!G64-SUM(water!G48,water!G49,water!G50))/(water!G110/'Equity Related Information'!G64))</f>
        <v>#VALUE!</v>
      </c>
      <c r="H219" s="93" t="e">
        <f>IF(OR('Equity Related Information'!H64="nd",water!H48="nd",water!H49="nd",water!H50="nd",water!H110="nd"),"nd",('Equity Related Information'!H64-SUM(water!H48,water!H49,water!H50))/(water!H110/'Equity Related Information'!H64))</f>
        <v>#VALUE!</v>
      </c>
      <c r="I219" s="93" t="e">
        <f>IF(OR('Equity Related Information'!I64="nd",water!I48="nd",water!I49="nd",water!I50="nd",water!I110="nd"),"nd",('Equity Related Information'!I64-SUM(water!I48,water!I49,water!I50))/(water!I110/'Equity Related Information'!I64))</f>
        <v>#VALUE!</v>
      </c>
      <c r="J219" s="93" t="e">
        <f>IF(OR('Equity Related Information'!J64="nd",water!J48="nd",water!J49="nd",water!J50="nd",water!J110="nd"),"nd",('Equity Related Information'!J64-SUM(water!J48,water!J49,water!J50))/(water!J110/'Equity Related Information'!J64))</f>
        <v>#VALUE!</v>
      </c>
      <c r="K219" s="93">
        <f>IF(OR('Equity Related Information'!K64="nd",water!K48="nd",water!K49="nd",water!K50="nd",water!K110="nd"),"nd",('Equity Related Information'!K64-SUM(water!K48,water!K49,water!K50))/(water!K110/'Equity Related Information'!K64))</f>
        <v>2.1575984990619135E-2</v>
      </c>
    </row>
    <row r="220" spans="1:11">
      <c r="A220" s="83">
        <v>32</v>
      </c>
      <c r="B220" s="84" t="s">
        <v>261</v>
      </c>
      <c r="C220" s="83" t="s">
        <v>16</v>
      </c>
      <c r="D220" s="93" t="e">
        <f t="shared" ref="D220:I220" si="32">IF(AND(D65="na",D8="na",D12="na",D16="na",D20="na",D58="na",D62="na"),"na",IF(OR(D65="nd",D8="nd",D12="nd",D16="nd",D20="nd",D58="nd",D62="nd",D66="nd"),"nd",(D65+D8+D12+D16+D20+D58+D62)/D66*100))</f>
        <v>#DIV/0!</v>
      </c>
      <c r="E220" s="93" t="e">
        <f t="shared" si="32"/>
        <v>#DIV/0!</v>
      </c>
      <c r="F220" s="93">
        <f t="shared" si="32"/>
        <v>0</v>
      </c>
      <c r="G220" s="93">
        <f t="shared" si="32"/>
        <v>0</v>
      </c>
      <c r="H220" s="93">
        <f t="shared" si="32"/>
        <v>0</v>
      </c>
      <c r="I220" s="93">
        <f t="shared" si="32"/>
        <v>0</v>
      </c>
      <c r="J220" s="93" t="str">
        <f>IF(AND(J65="na",J8="na",J12="na",J16="na",J20="na",J58="na",J62="na"),"na",IF(OR(J65="nd",J8="nd",J12="nd",J16="nd",J20="nd",J58="nd",J62="nd",J66="nd"),"nd",(J65+J8+J12+J16+J20+J58+J62)/J66*100))</f>
        <v>na</v>
      </c>
      <c r="K220" s="93" t="str">
        <f>IF(AND(K65="na",K8="na",K12="na",K16="na",K20="na",K58="na",K62="na"),"na",IF(OR(K65="nd",K8="nd",K12="nd",K16="nd",K20="nd",K58="nd",K62="nd",K66="nd"),"nd",(K65+K8+K12+K16+K20+K58+K62)/K66*100))</f>
        <v>na</v>
      </c>
    </row>
    <row r="221" spans="1:11">
      <c r="A221" s="83">
        <v>33</v>
      </c>
      <c r="B221" s="84" t="s">
        <v>262</v>
      </c>
      <c r="C221" s="83" t="s">
        <v>227</v>
      </c>
      <c r="D221" s="93" t="str">
        <f>IF(Reliability!C173="Y","Y","N")</f>
        <v>N</v>
      </c>
      <c r="E221" s="93" t="str">
        <f>IF(Reliability!D173="Y","Y","N")</f>
        <v>N</v>
      </c>
      <c r="F221" s="93" t="str">
        <f>IF(Reliability!E173="Y","Y","N")</f>
        <v>N</v>
      </c>
      <c r="G221" s="93" t="str">
        <f>IF(Reliability!F173="Y","Y","N")</f>
        <v>N</v>
      </c>
      <c r="H221" s="93" t="str">
        <f>IF(Reliability!G173="Y","Y","N")</f>
        <v>N</v>
      </c>
      <c r="I221" s="93" t="str">
        <f>IF(Reliability!H173="Y","Y","N")</f>
        <v>N</v>
      </c>
      <c r="J221" s="93" t="str">
        <f>IF(Reliability!I173="Y","Y","N")</f>
        <v>N</v>
      </c>
      <c r="K221" s="93" t="str">
        <f>IF(Reliability!J173="Y","Y","N")</f>
        <v>N</v>
      </c>
    </row>
    <row r="222" spans="1:11">
      <c r="A222" s="83">
        <v>34</v>
      </c>
      <c r="B222" s="84" t="s">
        <v>263</v>
      </c>
      <c r="C222" s="83" t="s">
        <v>16</v>
      </c>
      <c r="D222" s="93" t="e">
        <f>D112/(D112+D116)*100</f>
        <v>#DIV/0!</v>
      </c>
      <c r="E222" s="93" t="e">
        <f t="shared" ref="E222:K222" si="33">IF(OR(E112="nd",E116="nd"),"nd",E112/(E112+E116)*100)</f>
        <v>#DIV/0!</v>
      </c>
      <c r="F222" s="93">
        <f t="shared" si="33"/>
        <v>72.29476211916554</v>
      </c>
      <c r="G222" s="93">
        <f t="shared" si="33"/>
        <v>19.841269841269842</v>
      </c>
      <c r="H222" s="93">
        <f t="shared" si="33"/>
        <v>20.086526576019775</v>
      </c>
      <c r="I222" s="93">
        <f t="shared" si="33"/>
        <v>35.004406149025755</v>
      </c>
      <c r="J222" s="93">
        <f t="shared" si="33"/>
        <v>32.968299711815561</v>
      </c>
      <c r="K222" s="93">
        <f t="shared" si="33"/>
        <v>36.378999116641701</v>
      </c>
    </row>
    <row r="223" spans="1:11">
      <c r="A223" s="83">
        <v>35</v>
      </c>
      <c r="B223" s="84" t="s">
        <v>264</v>
      </c>
      <c r="C223" s="83" t="s">
        <v>227</v>
      </c>
      <c r="D223" s="93" t="str">
        <f>IF(AND(Reliability!C175="Y",Reliability!C172="Y"),"Y","N")</f>
        <v>N</v>
      </c>
      <c r="E223" s="93" t="str">
        <f>IF(AND(Reliability!D175="Y",Reliability!D172="Y"),"Y","N")</f>
        <v>N</v>
      </c>
      <c r="F223" s="93" t="str">
        <f>IF(AND(Reliability!E175="Y",Reliability!E172="Y"),"Y","N")</f>
        <v>N</v>
      </c>
      <c r="G223" s="93" t="str">
        <f>IF(AND(Reliability!F175="Y",Reliability!F172="Y"),"Y","N")</f>
        <v>N</v>
      </c>
      <c r="H223" s="93" t="str">
        <f>IF(AND(Reliability!G175="Y",Reliability!G172="Y"),"Y","N")</f>
        <v>N</v>
      </c>
      <c r="I223" s="93" t="str">
        <f>IF(AND(Reliability!H175="Y",Reliability!H172="Y"),"Y","N")</f>
        <v>N</v>
      </c>
      <c r="J223" s="93" t="str">
        <f>IF(AND(Reliability!I175="Y",Reliability!I172="Y"),"Y","N")</f>
        <v>Y</v>
      </c>
      <c r="K223" s="93" t="str">
        <f>IF(AND(Reliability!J175="Y",Reliability!J172="Y"),"Y","N")</f>
        <v>Y</v>
      </c>
    </row>
    <row r="224" spans="1:11">
      <c r="A224" s="83">
        <v>36</v>
      </c>
      <c r="B224" s="84" t="s">
        <v>265</v>
      </c>
      <c r="C224" s="83" t="s">
        <v>227</v>
      </c>
      <c r="D224" s="93">
        <f>'Equity Related Information'!D237</f>
        <v>0</v>
      </c>
      <c r="E224" s="93">
        <f>'Equity Related Information'!E237</f>
        <v>0</v>
      </c>
      <c r="F224" s="93">
        <f>'Equity Related Information'!F237</f>
        <v>0</v>
      </c>
      <c r="G224" s="93">
        <f>'Equity Related Information'!G237</f>
        <v>0</v>
      </c>
      <c r="H224" s="93">
        <f>'Equity Related Information'!H237</f>
        <v>0</v>
      </c>
      <c r="I224" s="93" t="str">
        <f>'Equity Related Information'!I237</f>
        <v>NO</v>
      </c>
      <c r="J224" s="93" t="str">
        <f>'Equity Related Information'!J237</f>
        <v>NO</v>
      </c>
      <c r="K224" s="93" t="str">
        <f>'Equity Related Information'!K237</f>
        <v>NO</v>
      </c>
    </row>
  </sheetData>
  <mergeCells count="11">
    <mergeCell ref="A1:K1"/>
    <mergeCell ref="A3:K3"/>
    <mergeCell ref="A67:E67"/>
    <mergeCell ref="A72:E72"/>
    <mergeCell ref="A77:E77"/>
    <mergeCell ref="A100:E100"/>
    <mergeCell ref="A124:E124"/>
    <mergeCell ref="A2:E2"/>
    <mergeCell ref="B6:E6"/>
    <mergeCell ref="A51:E51"/>
    <mergeCell ref="A55:E55"/>
  </mergeCells>
  <pageMargins left="0.24" right="0.14000000000000001" top="0.75" bottom="0.75" header="0.51180555555555596" footer="0.51180555555555596"/>
  <pageSetup scale="60" firstPageNumber="0" orientation="portrait" horizontalDpi="300" verticalDpi="300" r:id="rId1"/>
  <headerFooter alignWithMargins="0"/>
  <rowBreaks count="4" manualBreakCount="4">
    <brk id="50" max="16383" man="1"/>
    <brk id="99" max="16383" man="1"/>
    <brk id="123" max="16383" man="1"/>
    <brk id="1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187"/>
  <sheetViews>
    <sheetView workbookViewId="0">
      <selection sqref="A1:K1"/>
    </sheetView>
  </sheetViews>
  <sheetFormatPr defaultRowHeight="12.75"/>
  <cols>
    <col min="1" max="1" width="5.7109375" style="1" bestFit="1" customWidth="1"/>
    <col min="2" max="2" width="68.28515625" style="1" bestFit="1" customWidth="1"/>
    <col min="3" max="3" width="9.140625" style="1" bestFit="1" customWidth="1"/>
    <col min="4" max="11" width="11.140625" style="1" bestFit="1" customWidth="1"/>
    <col min="12" max="12" width="9.140625" style="1" bestFit="1"/>
    <col min="13" max="16384" width="9.140625" style="1"/>
  </cols>
  <sheetData>
    <row r="1" spans="1:11" ht="15.75">
      <c r="A1" s="426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1" ht="15.75">
      <c r="A2" s="426"/>
      <c r="B2" s="426"/>
      <c r="C2" s="426"/>
      <c r="D2" s="426"/>
      <c r="E2" s="426"/>
      <c r="F2" s="28"/>
      <c r="G2" s="28"/>
      <c r="H2" s="28"/>
      <c r="I2" s="28"/>
      <c r="J2" s="28"/>
      <c r="K2" s="28"/>
    </row>
    <row r="3" spans="1:11" ht="15.75">
      <c r="A3" s="428" t="s">
        <v>266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</row>
    <row r="4" spans="1:11">
      <c r="A4" s="3" t="s">
        <v>2</v>
      </c>
      <c r="B4" s="3" t="s">
        <v>3</v>
      </c>
      <c r="C4" s="29" t="s">
        <v>4</v>
      </c>
      <c r="D4" s="29" t="str">
        <f>'General Info'!D4</f>
        <v>FY 2008-2009</v>
      </c>
      <c r="E4" s="29" t="str">
        <f>'General Info'!E4</f>
        <v>FY 2009-2010</v>
      </c>
      <c r="F4" s="29" t="str">
        <f>'General Info'!F4</f>
        <v>FY 2010-2011</v>
      </c>
      <c r="G4" s="29" t="str">
        <f>'General Info'!G4</f>
        <v>FY 2011-2012</v>
      </c>
      <c r="H4" s="29" t="str">
        <f>'General Info'!H4</f>
        <v>FY 2012-2013</v>
      </c>
      <c r="I4" s="29" t="str">
        <f>'General Info'!I4</f>
        <v>FY 2013-2014</v>
      </c>
      <c r="J4" s="29" t="str">
        <f>'General Info'!J4</f>
        <v>FY 2014-2015</v>
      </c>
      <c r="K4" s="29" t="str">
        <f>'General Info'!K4</f>
        <v>FY 2015-2016</v>
      </c>
    </row>
    <row r="5" spans="1:11">
      <c r="A5" s="95">
        <v>1</v>
      </c>
      <c r="B5" s="95" t="s">
        <v>267</v>
      </c>
      <c r="C5" s="96" t="s">
        <v>16</v>
      </c>
      <c r="D5" s="58" t="e">
        <f t="shared" ref="D5:K5" si="0">IF(OR(D10="nd",D7="nd"),"nd",D10*100/D7)</f>
        <v>#DIV/0!</v>
      </c>
      <c r="E5" s="58" t="e">
        <f t="shared" si="0"/>
        <v>#DIV/0!</v>
      </c>
      <c r="F5" s="58">
        <f t="shared" si="0"/>
        <v>69.989142236699237</v>
      </c>
      <c r="G5" s="58">
        <f t="shared" si="0"/>
        <v>86.858480333390418</v>
      </c>
      <c r="H5" s="58">
        <f t="shared" si="0"/>
        <v>91.997703788748566</v>
      </c>
      <c r="I5" s="58">
        <f t="shared" si="0"/>
        <v>92.057196534808469</v>
      </c>
      <c r="J5" s="58">
        <f t="shared" si="0"/>
        <v>93.689916138269581</v>
      </c>
      <c r="K5" s="58">
        <f t="shared" si="0"/>
        <v>96.066343754586825</v>
      </c>
    </row>
    <row r="6" spans="1:11">
      <c r="A6" s="97"/>
      <c r="B6" s="435" t="s">
        <v>268</v>
      </c>
      <c r="C6" s="435"/>
      <c r="D6" s="435"/>
      <c r="E6" s="435"/>
      <c r="F6" s="99"/>
      <c r="G6" s="99"/>
      <c r="H6" s="99"/>
      <c r="I6" s="99"/>
      <c r="J6" s="99"/>
      <c r="K6" s="99"/>
    </row>
    <row r="7" spans="1:11">
      <c r="A7" s="100">
        <v>1.1000000000000001</v>
      </c>
      <c r="B7" s="101" t="s">
        <v>269</v>
      </c>
      <c r="C7" s="10" t="s">
        <v>19</v>
      </c>
      <c r="D7" s="102">
        <f>'General Info'!D18</f>
        <v>0</v>
      </c>
      <c r="E7" s="102">
        <f>'General Info'!E18</f>
        <v>0</v>
      </c>
      <c r="F7" s="102">
        <f>'General Info'!F18</f>
        <v>13815</v>
      </c>
      <c r="G7" s="102">
        <f>'General Info'!G18</f>
        <v>35034</v>
      </c>
      <c r="H7" s="102">
        <f>'General Info'!H18</f>
        <v>8710</v>
      </c>
      <c r="I7" s="102">
        <f>'General Info'!I18</f>
        <v>9581</v>
      </c>
      <c r="J7" s="102">
        <f>'General Info'!J18</f>
        <v>9778</v>
      </c>
      <c r="K7" s="102">
        <f>'General Info'!K18</f>
        <v>27252</v>
      </c>
    </row>
    <row r="8" spans="1:11">
      <c r="A8" s="100">
        <v>1.2</v>
      </c>
      <c r="B8" s="103" t="s">
        <v>270</v>
      </c>
      <c r="C8" s="10" t="s">
        <v>19</v>
      </c>
      <c r="D8" s="151"/>
      <c r="E8" s="151"/>
      <c r="F8" s="421">
        <v>8239</v>
      </c>
      <c r="G8" s="421">
        <v>22100</v>
      </c>
      <c r="H8" s="421">
        <v>6968</v>
      </c>
      <c r="I8" s="421">
        <v>8059</v>
      </c>
      <c r="J8" s="421">
        <v>8256</v>
      </c>
      <c r="K8" s="421">
        <v>25250</v>
      </c>
    </row>
    <row r="9" spans="1:11">
      <c r="A9" s="100">
        <v>1.3</v>
      </c>
      <c r="B9" s="104" t="s">
        <v>271</v>
      </c>
      <c r="C9" s="10" t="s">
        <v>19</v>
      </c>
      <c r="D9" s="151"/>
      <c r="E9" s="151"/>
      <c r="F9" s="421">
        <v>1430</v>
      </c>
      <c r="G9" s="421">
        <v>8330</v>
      </c>
      <c r="H9" s="421">
        <v>1045</v>
      </c>
      <c r="I9" s="421">
        <v>761</v>
      </c>
      <c r="J9" s="421">
        <v>905</v>
      </c>
      <c r="K9" s="421">
        <v>930</v>
      </c>
    </row>
    <row r="10" spans="1:11">
      <c r="A10" s="100"/>
      <c r="B10" s="105" t="s">
        <v>272</v>
      </c>
      <c r="C10" s="10" t="s">
        <v>19</v>
      </c>
      <c r="D10" s="102">
        <f t="shared" ref="D10:I10" si="1">IF(OR(D8="nd",D9="nd"),"nd",SUM(D8,D9))</f>
        <v>0</v>
      </c>
      <c r="E10" s="102">
        <f t="shared" si="1"/>
        <v>0</v>
      </c>
      <c r="F10" s="102">
        <f t="shared" si="1"/>
        <v>9669</v>
      </c>
      <c r="G10" s="102">
        <f t="shared" si="1"/>
        <v>30430</v>
      </c>
      <c r="H10" s="102">
        <f t="shared" si="1"/>
        <v>8013</v>
      </c>
      <c r="I10" s="102">
        <f t="shared" si="1"/>
        <v>8820</v>
      </c>
      <c r="J10" s="102">
        <f>IF(OR(J8="nd",J9="nd"),"nd",SUM(J8,J9))</f>
        <v>9161</v>
      </c>
      <c r="K10" s="102">
        <f>IF(OR(K8="nd",K9="nd"),"nd",SUM(K8,K9))</f>
        <v>26180</v>
      </c>
    </row>
    <row r="11" spans="1:11">
      <c r="A11" s="95">
        <v>2</v>
      </c>
      <c r="B11" s="95" t="s">
        <v>273</v>
      </c>
      <c r="C11" s="96" t="s">
        <v>16</v>
      </c>
      <c r="D11" s="58" t="e">
        <f t="shared" ref="D11:I11" si="2">IF(D13="na","na",IF(OR(D13="nd",D12="nd"),"nd",D13*100/D12))</f>
        <v>#DIV/0!</v>
      </c>
      <c r="E11" s="58" t="e">
        <f t="shared" si="2"/>
        <v>#DIV/0!</v>
      </c>
      <c r="F11" s="58">
        <f t="shared" si="2"/>
        <v>0</v>
      </c>
      <c r="G11" s="58">
        <f t="shared" si="2"/>
        <v>0</v>
      </c>
      <c r="H11" s="58">
        <f t="shared" si="2"/>
        <v>0</v>
      </c>
      <c r="I11" s="58">
        <f t="shared" si="2"/>
        <v>0</v>
      </c>
      <c r="J11" s="58" t="str">
        <f>IF(J13="na","na",IF(OR(J13="nd",J12="nd"),"nd",J13*100/J12))</f>
        <v>na</v>
      </c>
      <c r="K11" s="58" t="str">
        <f>IF(K13="na","na",IF(OR(K13="nd",K12="nd"),"nd",K13*100/K12))</f>
        <v>na</v>
      </c>
    </row>
    <row r="12" spans="1:11">
      <c r="A12" s="100">
        <v>2.1</v>
      </c>
      <c r="B12" s="105" t="s">
        <v>269</v>
      </c>
      <c r="C12" s="10" t="s">
        <v>19</v>
      </c>
      <c r="D12" s="102">
        <f t="shared" ref="D12:K12" si="3">D7</f>
        <v>0</v>
      </c>
      <c r="E12" s="102">
        <f t="shared" si="3"/>
        <v>0</v>
      </c>
      <c r="F12" s="102">
        <f t="shared" si="3"/>
        <v>13815</v>
      </c>
      <c r="G12" s="102">
        <f t="shared" si="3"/>
        <v>35034</v>
      </c>
      <c r="H12" s="102">
        <f t="shared" si="3"/>
        <v>8710</v>
      </c>
      <c r="I12" s="102">
        <f t="shared" si="3"/>
        <v>9581</v>
      </c>
      <c r="J12" s="102">
        <f t="shared" si="3"/>
        <v>9778</v>
      </c>
      <c r="K12" s="102">
        <f t="shared" si="3"/>
        <v>27252</v>
      </c>
    </row>
    <row r="13" spans="1:11">
      <c r="A13" s="100">
        <v>2.2000000000000002</v>
      </c>
      <c r="B13" s="104" t="s">
        <v>274</v>
      </c>
      <c r="C13" s="10" t="s">
        <v>19</v>
      </c>
      <c r="D13" s="151"/>
      <c r="E13" s="151"/>
      <c r="F13" s="151"/>
      <c r="G13" s="421">
        <v>0</v>
      </c>
      <c r="H13" s="421">
        <v>0</v>
      </c>
      <c r="I13" s="421">
        <v>0</v>
      </c>
      <c r="J13" s="422" t="s">
        <v>961</v>
      </c>
      <c r="K13" s="422" t="s">
        <v>961</v>
      </c>
    </row>
    <row r="14" spans="1:11">
      <c r="A14" s="100">
        <v>2.2999999999999998</v>
      </c>
      <c r="B14" s="104" t="s">
        <v>275</v>
      </c>
      <c r="C14" s="10" t="s">
        <v>19</v>
      </c>
      <c r="D14" s="151"/>
      <c r="E14" s="151"/>
      <c r="F14" s="151"/>
      <c r="G14" s="421">
        <v>0</v>
      </c>
      <c r="H14" s="421">
        <v>0</v>
      </c>
      <c r="I14" s="421">
        <v>0</v>
      </c>
      <c r="J14" s="421">
        <v>8256</v>
      </c>
      <c r="K14" s="421">
        <v>25250</v>
      </c>
    </row>
    <row r="15" spans="1:11">
      <c r="A15" s="95"/>
      <c r="B15" s="106" t="s">
        <v>276</v>
      </c>
      <c r="C15" s="107" t="s">
        <v>16</v>
      </c>
      <c r="D15" s="58" t="e">
        <f t="shared" ref="D15:I15" si="4">IF(D36="na","na",IF(OR(D36="nd",D34="nd"),"nd",D36*100/D34))</f>
        <v>#DIV/0!</v>
      </c>
      <c r="E15" s="58" t="e">
        <f t="shared" si="4"/>
        <v>#DIV/0!</v>
      </c>
      <c r="F15" s="58">
        <f t="shared" si="4"/>
        <v>0</v>
      </c>
      <c r="G15" s="58">
        <f t="shared" si="4"/>
        <v>0</v>
      </c>
      <c r="H15" s="58">
        <f t="shared" si="4"/>
        <v>0</v>
      </c>
      <c r="I15" s="58">
        <f t="shared" si="4"/>
        <v>0</v>
      </c>
      <c r="J15" s="58" t="str">
        <f>IF(J36="na","na",IF(OR(J36="nd",J34="nd"),"nd",J36*100/J34))</f>
        <v>na</v>
      </c>
      <c r="K15" s="58" t="str">
        <f>IF(K36="na","na",IF(OR(K36="nd",K34="nd"),"nd",K36*100/K34))</f>
        <v>na</v>
      </c>
    </row>
    <row r="16" spans="1:11">
      <c r="A16" s="108"/>
      <c r="B16" s="98" t="s">
        <v>277</v>
      </c>
      <c r="C16" s="45" t="s">
        <v>4</v>
      </c>
      <c r="D16" s="45" t="str">
        <f>'General Info'!D4</f>
        <v>FY 2008-2009</v>
      </c>
      <c r="E16" s="45" t="str">
        <f>'General Info'!E4</f>
        <v>FY 2009-2010</v>
      </c>
      <c r="F16" s="45" t="str">
        <f>'General Info'!F4</f>
        <v>FY 2010-2011</v>
      </c>
      <c r="G16" s="45" t="str">
        <f>'General Info'!G4</f>
        <v>FY 2011-2012</v>
      </c>
      <c r="H16" s="45" t="str">
        <f>'General Info'!H4</f>
        <v>FY 2012-2013</v>
      </c>
      <c r="I16" s="45" t="str">
        <f>'General Info'!I4</f>
        <v>FY 2013-2014</v>
      </c>
      <c r="J16" s="45" t="str">
        <f>'General Info'!J4</f>
        <v>FY 2014-2015</v>
      </c>
      <c r="K16" s="45" t="str">
        <f>'General Info'!K4</f>
        <v>FY 2015-2016</v>
      </c>
    </row>
    <row r="17" spans="1:11">
      <c r="A17" s="109">
        <v>3.1</v>
      </c>
      <c r="B17" s="101" t="s">
        <v>278</v>
      </c>
      <c r="C17" s="10" t="s">
        <v>96</v>
      </c>
      <c r="D17" s="110">
        <f>water!D42</f>
        <v>0</v>
      </c>
      <c r="E17" s="110">
        <f>water!E42</f>
        <v>0</v>
      </c>
      <c r="F17" s="110">
        <f>water!F42</f>
        <v>5.7644799999999998</v>
      </c>
      <c r="G17" s="110">
        <f>water!G42</f>
        <v>6</v>
      </c>
      <c r="H17" s="110">
        <f>water!H42</f>
        <v>12</v>
      </c>
      <c r="I17" s="110">
        <f>water!I42</f>
        <v>13.8</v>
      </c>
      <c r="J17" s="110">
        <f>water!J42</f>
        <v>15.2</v>
      </c>
      <c r="K17" s="110">
        <f>water!K42</f>
        <v>16.5</v>
      </c>
    </row>
    <row r="18" spans="1:11">
      <c r="A18" s="100">
        <v>3.2</v>
      </c>
      <c r="B18" s="101" t="s">
        <v>279</v>
      </c>
      <c r="C18" s="10" t="s">
        <v>96</v>
      </c>
      <c r="D18" s="110">
        <f>water!D43</f>
        <v>0</v>
      </c>
      <c r="E18" s="110">
        <f>water!E43</f>
        <v>0</v>
      </c>
      <c r="F18" s="110">
        <f>water!F43</f>
        <v>0.4224</v>
      </c>
      <c r="G18" s="110">
        <f>water!G43</f>
        <v>0.5</v>
      </c>
      <c r="H18" s="110">
        <f>water!H43</f>
        <v>1</v>
      </c>
      <c r="I18" s="110">
        <f>water!I43</f>
        <v>0.5</v>
      </c>
      <c r="J18" s="110">
        <f>water!J43</f>
        <v>0.5</v>
      </c>
      <c r="K18" s="110">
        <f>water!K43</f>
        <v>0.6</v>
      </c>
    </row>
    <row r="19" spans="1:11">
      <c r="A19" s="109">
        <v>3.3</v>
      </c>
      <c r="B19" s="101" t="s">
        <v>280</v>
      </c>
      <c r="C19" s="10" t="s">
        <v>96</v>
      </c>
      <c r="D19" s="110">
        <f>water!D44</f>
        <v>0</v>
      </c>
      <c r="E19" s="110">
        <f>water!E44</f>
        <v>0</v>
      </c>
      <c r="F19" s="110">
        <f>water!F44</f>
        <v>0.192</v>
      </c>
      <c r="G19" s="110">
        <f>water!G44</f>
        <v>0.5</v>
      </c>
      <c r="H19" s="110">
        <f>water!H44</f>
        <v>0.2</v>
      </c>
      <c r="I19" s="110">
        <f>water!I44</f>
        <v>0.2</v>
      </c>
      <c r="J19" s="110">
        <f>water!J44</f>
        <v>0.2</v>
      </c>
      <c r="K19" s="110">
        <f>water!K44</f>
        <v>0.25</v>
      </c>
    </row>
    <row r="20" spans="1:11">
      <c r="A20" s="100">
        <v>3.4</v>
      </c>
      <c r="B20" s="101" t="s">
        <v>281</v>
      </c>
      <c r="C20" s="10" t="s">
        <v>96</v>
      </c>
      <c r="D20" s="110">
        <f>water!D45</f>
        <v>0</v>
      </c>
      <c r="E20" s="110">
        <f>water!E45</f>
        <v>0</v>
      </c>
      <c r="F20" s="110">
        <f>water!F45</f>
        <v>0</v>
      </c>
      <c r="G20" s="110">
        <f>water!G45</f>
        <v>1.8</v>
      </c>
      <c r="H20" s="110">
        <f>water!H45</f>
        <v>0</v>
      </c>
      <c r="I20" s="110">
        <f>water!I45</f>
        <v>0</v>
      </c>
      <c r="J20" s="110">
        <f>water!J45</f>
        <v>0</v>
      </c>
      <c r="K20" s="110">
        <f>water!K45</f>
        <v>0</v>
      </c>
    </row>
    <row r="21" spans="1:11">
      <c r="A21" s="109">
        <v>3.5</v>
      </c>
      <c r="B21" s="101" t="s">
        <v>282</v>
      </c>
      <c r="C21" s="10" t="s">
        <v>96</v>
      </c>
      <c r="D21" s="110">
        <f>IF(OR(water!D46="nd",water!D49="nd",water!D50="nd"),"nd",SUM(water!D46,water!D49,water!D50))</f>
        <v>0</v>
      </c>
      <c r="E21" s="110">
        <f>IF(OR(water!E46="nd",water!E49="nd",water!E50="nd"),"nd",SUM(water!E46,water!E49,water!E50))</f>
        <v>0</v>
      </c>
      <c r="F21" s="110">
        <f>IF(OR(water!F46="nd",water!F49="nd",water!F50="nd"),"nd",SUM(water!F46,water!F49,water!F50))</f>
        <v>1.536</v>
      </c>
      <c r="G21" s="110">
        <f>IF(OR(water!G46="nd",water!G49="nd",water!G50="nd"),"nd",SUM(water!G46,water!G49,water!G50))</f>
        <v>6.7</v>
      </c>
      <c r="H21" s="110">
        <f>IF(OR(water!H46="nd",water!H49="nd",water!H50="nd"),"nd",SUM(water!H46,water!H49,water!H50))</f>
        <v>8.75</v>
      </c>
      <c r="I21" s="110">
        <f>IF(OR(water!I46="nd",water!I49="nd",water!I50="nd"),"nd",SUM(water!I46,water!I49,water!I50))</f>
        <v>8</v>
      </c>
      <c r="J21" s="110">
        <f>IF(OR(water!J46="nd",water!J49="nd",water!J50="nd"),"nd",SUM(water!J46,water!J49,water!J50))</f>
        <v>6.6</v>
      </c>
      <c r="K21" s="110">
        <f>IF(OR(water!K46="nd",water!K49="nd",water!K50="nd"),"nd",SUM(water!K46,water!K49,water!K50))</f>
        <v>5.15</v>
      </c>
    </row>
    <row r="22" spans="1:11">
      <c r="A22" s="100">
        <v>3.6</v>
      </c>
      <c r="B22" s="101" t="s">
        <v>283</v>
      </c>
      <c r="C22" s="10" t="s">
        <v>96</v>
      </c>
      <c r="D22" s="110">
        <f>water!D50</f>
        <v>0</v>
      </c>
      <c r="E22" s="110">
        <f>water!E50</f>
        <v>0</v>
      </c>
      <c r="F22" s="110">
        <f>water!F50</f>
        <v>0</v>
      </c>
      <c r="G22" s="110">
        <f>water!G50</f>
        <v>0</v>
      </c>
      <c r="H22" s="110">
        <f>water!H50</f>
        <v>0</v>
      </c>
      <c r="I22" s="110">
        <f>water!I50</f>
        <v>0</v>
      </c>
      <c r="J22" s="110">
        <f>water!J50</f>
        <v>0</v>
      </c>
      <c r="K22" s="110">
        <f>water!K50</f>
        <v>0</v>
      </c>
    </row>
    <row r="23" spans="1:11">
      <c r="A23" s="109">
        <v>3.7</v>
      </c>
      <c r="B23" s="101" t="s">
        <v>284</v>
      </c>
      <c r="C23" s="10" t="s">
        <v>96</v>
      </c>
      <c r="D23" s="110">
        <f>water!D47</f>
        <v>0</v>
      </c>
      <c r="E23" s="110">
        <f>water!E47</f>
        <v>0</v>
      </c>
      <c r="F23" s="110">
        <f>water!F47</f>
        <v>0</v>
      </c>
      <c r="G23" s="110">
        <f>water!G47</f>
        <v>0</v>
      </c>
      <c r="H23" s="110">
        <f>water!H47</f>
        <v>0</v>
      </c>
      <c r="I23" s="110">
        <f>water!I47</f>
        <v>0</v>
      </c>
      <c r="J23" s="110">
        <f>water!J47</f>
        <v>0</v>
      </c>
      <c r="K23" s="110">
        <f>water!K47</f>
        <v>0</v>
      </c>
    </row>
    <row r="24" spans="1:11">
      <c r="A24" s="100">
        <v>3.8</v>
      </c>
      <c r="B24" s="111" t="s">
        <v>285</v>
      </c>
      <c r="C24" s="10" t="s">
        <v>96</v>
      </c>
      <c r="D24" s="112"/>
      <c r="E24" s="112"/>
      <c r="F24" s="112"/>
      <c r="G24" s="112"/>
      <c r="H24" s="112"/>
      <c r="I24" s="422">
        <v>0</v>
      </c>
      <c r="J24" s="422">
        <v>0</v>
      </c>
      <c r="K24" s="422">
        <v>0</v>
      </c>
    </row>
    <row r="25" spans="1:11">
      <c r="A25" s="109">
        <v>3.9</v>
      </c>
      <c r="B25" s="101" t="s">
        <v>286</v>
      </c>
      <c r="C25" s="10" t="s">
        <v>96</v>
      </c>
      <c r="D25" s="110">
        <f>IF(OR(D17="nd",D18="nd",D19="nd",D20="nd",D21="nd",D22="nd",D23="nd",D24="nd"),"nd",SUM($D$17:$D$24))</f>
        <v>0</v>
      </c>
      <c r="E25" s="110">
        <f>IF(OR(E17="nd",E18="nd",E19="nd",E20="nd",E21="nd",E22="nd",E23="nd",E24="nd"),"nd",SUM($E$17:$E$24))</f>
        <v>0</v>
      </c>
      <c r="F25" s="110">
        <f>IF(OR(F17="nd",F18="nd",F19="nd",F20="nd",F21="nd",F22="nd",F23="nd",F24="nd"),"nd",SUM($F$17:$F$24))</f>
        <v>7.9148800000000001</v>
      </c>
      <c r="G25" s="110">
        <f>IF(OR(G17="nd",G18="nd",G19="nd",G20="nd",G21="nd",G22="nd",G23="nd",G24="nd"),"nd",SUM($G$17:$G$24))</f>
        <v>15.5</v>
      </c>
      <c r="H25" s="110">
        <f>IF(OR(H17="nd",H18="nd",H19="nd",H20="nd",H21="nd",H22="nd",H23="nd",H24="nd"),"nd",SUM($H$17:$H$24))</f>
        <v>21.95</v>
      </c>
      <c r="I25" s="110">
        <f>IF(OR(I17="nd",I18="nd",I19="nd",I20="nd",I21="nd",I22="nd",I23="nd",I24="nd"),"nd",SUM($I$17:$I$24))</f>
        <v>22.5</v>
      </c>
      <c r="J25" s="110">
        <f>IF(OR(J17="nd",J18="nd",J19="nd",J20="nd",J21="nd",J22="nd",J23="nd",J24="nd"),"nd",SUM(J17:J24))</f>
        <v>22.5</v>
      </c>
      <c r="K25" s="110">
        <f>IF(OR(K17="nd",K18="nd",K19="nd",K20="nd",K21="nd",K22="nd",K23="nd",K24="nd"),"nd",SUM(K17:K24))</f>
        <v>22.5</v>
      </c>
    </row>
    <row r="26" spans="1:11">
      <c r="A26" s="273">
        <v>3.1</v>
      </c>
      <c r="B26" s="101" t="s">
        <v>287</v>
      </c>
      <c r="C26" s="10" t="s">
        <v>96</v>
      </c>
      <c r="D26" s="110">
        <f t="shared" ref="D26:J33" si="5">IF(D17="na","na",IF(D17="nd","nd",0.8*D17))</f>
        <v>0</v>
      </c>
      <c r="E26" s="110">
        <f t="shared" si="5"/>
        <v>0</v>
      </c>
      <c r="F26" s="110">
        <f t="shared" si="5"/>
        <v>4.6115839999999997</v>
      </c>
      <c r="G26" s="110">
        <f t="shared" si="5"/>
        <v>4.8000000000000007</v>
      </c>
      <c r="H26" s="110">
        <f t="shared" si="5"/>
        <v>9.6000000000000014</v>
      </c>
      <c r="I26" s="110">
        <f t="shared" si="5"/>
        <v>11.040000000000001</v>
      </c>
      <c r="J26" s="110">
        <f t="shared" si="5"/>
        <v>12.16</v>
      </c>
      <c r="K26" s="110">
        <f t="shared" ref="K26:K33" si="6">IF(K17="na","na",IF(K17="nd","nd",0.8*K17))</f>
        <v>13.200000000000001</v>
      </c>
    </row>
    <row r="27" spans="1:11">
      <c r="A27" s="109">
        <v>3.11</v>
      </c>
      <c r="B27" s="101" t="s">
        <v>288</v>
      </c>
      <c r="C27" s="10" t="s">
        <v>96</v>
      </c>
      <c r="D27" s="110">
        <f t="shared" si="5"/>
        <v>0</v>
      </c>
      <c r="E27" s="110">
        <f t="shared" si="5"/>
        <v>0</v>
      </c>
      <c r="F27" s="110">
        <f t="shared" si="5"/>
        <v>0.33792</v>
      </c>
      <c r="G27" s="110">
        <f t="shared" si="5"/>
        <v>0.4</v>
      </c>
      <c r="H27" s="110">
        <f t="shared" si="5"/>
        <v>0.8</v>
      </c>
      <c r="I27" s="110">
        <f t="shared" si="5"/>
        <v>0.4</v>
      </c>
      <c r="J27" s="110">
        <f t="shared" si="5"/>
        <v>0.4</v>
      </c>
      <c r="K27" s="110">
        <f t="shared" si="6"/>
        <v>0.48</v>
      </c>
    </row>
    <row r="28" spans="1:11">
      <c r="A28" s="273">
        <v>3.12</v>
      </c>
      <c r="B28" s="101" t="s">
        <v>289</v>
      </c>
      <c r="C28" s="10" t="s">
        <v>96</v>
      </c>
      <c r="D28" s="110">
        <f t="shared" si="5"/>
        <v>0</v>
      </c>
      <c r="E28" s="110">
        <f t="shared" si="5"/>
        <v>0</v>
      </c>
      <c r="F28" s="110">
        <f t="shared" si="5"/>
        <v>0.15360000000000001</v>
      </c>
      <c r="G28" s="110">
        <f t="shared" si="5"/>
        <v>0.4</v>
      </c>
      <c r="H28" s="110">
        <f t="shared" si="5"/>
        <v>0.16000000000000003</v>
      </c>
      <c r="I28" s="110">
        <f t="shared" si="5"/>
        <v>0.16000000000000003</v>
      </c>
      <c r="J28" s="110">
        <f t="shared" si="5"/>
        <v>0.16000000000000003</v>
      </c>
      <c r="K28" s="110">
        <f t="shared" si="6"/>
        <v>0.2</v>
      </c>
    </row>
    <row r="29" spans="1:11">
      <c r="A29" s="109">
        <v>3.13</v>
      </c>
      <c r="B29" s="101" t="s">
        <v>290</v>
      </c>
      <c r="C29" s="10" t="s">
        <v>96</v>
      </c>
      <c r="D29" s="110">
        <f t="shared" si="5"/>
        <v>0</v>
      </c>
      <c r="E29" s="110">
        <f t="shared" si="5"/>
        <v>0</v>
      </c>
      <c r="F29" s="110">
        <f t="shared" si="5"/>
        <v>0</v>
      </c>
      <c r="G29" s="110">
        <f t="shared" si="5"/>
        <v>1.4400000000000002</v>
      </c>
      <c r="H29" s="110">
        <f t="shared" si="5"/>
        <v>0</v>
      </c>
      <c r="I29" s="110">
        <f t="shared" si="5"/>
        <v>0</v>
      </c>
      <c r="J29" s="110">
        <f t="shared" si="5"/>
        <v>0</v>
      </c>
      <c r="K29" s="110">
        <f t="shared" si="6"/>
        <v>0</v>
      </c>
    </row>
    <row r="30" spans="1:11">
      <c r="A30" s="273">
        <v>3.14</v>
      </c>
      <c r="B30" s="101" t="s">
        <v>291</v>
      </c>
      <c r="C30" s="10" t="s">
        <v>96</v>
      </c>
      <c r="D30" s="110">
        <f t="shared" si="5"/>
        <v>0</v>
      </c>
      <c r="E30" s="110">
        <f t="shared" si="5"/>
        <v>0</v>
      </c>
      <c r="F30" s="110">
        <f t="shared" si="5"/>
        <v>1.2288000000000001</v>
      </c>
      <c r="G30" s="110">
        <f t="shared" si="5"/>
        <v>5.36</v>
      </c>
      <c r="H30" s="110">
        <f t="shared" si="5"/>
        <v>7</v>
      </c>
      <c r="I30" s="110">
        <f t="shared" si="5"/>
        <v>6.4</v>
      </c>
      <c r="J30" s="110">
        <f t="shared" si="5"/>
        <v>5.28</v>
      </c>
      <c r="K30" s="110">
        <f t="shared" si="6"/>
        <v>4.12</v>
      </c>
    </row>
    <row r="31" spans="1:11">
      <c r="A31" s="109">
        <v>3.15</v>
      </c>
      <c r="B31" s="101" t="s">
        <v>292</v>
      </c>
      <c r="C31" s="10" t="s">
        <v>96</v>
      </c>
      <c r="D31" s="110">
        <f t="shared" si="5"/>
        <v>0</v>
      </c>
      <c r="E31" s="110">
        <f t="shared" si="5"/>
        <v>0</v>
      </c>
      <c r="F31" s="110">
        <f t="shared" si="5"/>
        <v>0</v>
      </c>
      <c r="G31" s="110">
        <f t="shared" si="5"/>
        <v>0</v>
      </c>
      <c r="H31" s="110">
        <f t="shared" si="5"/>
        <v>0</v>
      </c>
      <c r="I31" s="110">
        <f t="shared" si="5"/>
        <v>0</v>
      </c>
      <c r="J31" s="110">
        <f t="shared" si="5"/>
        <v>0</v>
      </c>
      <c r="K31" s="110">
        <f t="shared" si="6"/>
        <v>0</v>
      </c>
    </row>
    <row r="32" spans="1:11">
      <c r="A32" s="273">
        <v>3.16</v>
      </c>
      <c r="B32" s="101" t="s">
        <v>293</v>
      </c>
      <c r="C32" s="10" t="s">
        <v>96</v>
      </c>
      <c r="D32" s="110">
        <f t="shared" si="5"/>
        <v>0</v>
      </c>
      <c r="E32" s="110">
        <f t="shared" si="5"/>
        <v>0</v>
      </c>
      <c r="F32" s="110">
        <f t="shared" si="5"/>
        <v>0</v>
      </c>
      <c r="G32" s="110">
        <f t="shared" si="5"/>
        <v>0</v>
      </c>
      <c r="H32" s="110">
        <f t="shared" si="5"/>
        <v>0</v>
      </c>
      <c r="I32" s="110">
        <f t="shared" si="5"/>
        <v>0</v>
      </c>
      <c r="J32" s="110">
        <f t="shared" si="5"/>
        <v>0</v>
      </c>
      <c r="K32" s="110">
        <f t="shared" si="6"/>
        <v>0</v>
      </c>
    </row>
    <row r="33" spans="1:11">
      <c r="A33" s="109">
        <v>3.17</v>
      </c>
      <c r="B33" s="101" t="s">
        <v>294</v>
      </c>
      <c r="C33" s="10" t="s">
        <v>96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10">
        <f t="shared" si="5"/>
        <v>0</v>
      </c>
      <c r="H33" s="110">
        <f t="shared" si="5"/>
        <v>0</v>
      </c>
      <c r="I33" s="110">
        <f t="shared" si="5"/>
        <v>0</v>
      </c>
      <c r="J33" s="110">
        <f t="shared" si="5"/>
        <v>0</v>
      </c>
      <c r="K33" s="110">
        <f t="shared" si="6"/>
        <v>0</v>
      </c>
    </row>
    <row r="34" spans="1:11">
      <c r="A34" s="100"/>
      <c r="B34" s="101" t="s">
        <v>295</v>
      </c>
      <c r="C34" s="10" t="s">
        <v>96</v>
      </c>
      <c r="D34" s="110">
        <f>IF(OR(D26="nd",D27="nd",D28="nd",D29="nd",D30="nd",D31="nd",D32="nd",D33="nd"),"nd",SUM($D$26:$D$33))</f>
        <v>0</v>
      </c>
      <c r="E34" s="110">
        <f>IF(OR(E26="nd",E27="nd",E28="nd",E29="nd",E30="nd",E31="nd",E32="nd",E33="nd"),"nd",SUM($E$26:$E$33))</f>
        <v>0</v>
      </c>
      <c r="F34" s="110">
        <f>IF(OR(F26="nd",F27="nd",F28="nd",F29="nd",F30="nd",F31="nd",F32="nd",F33="nd"),"nd",SUM($F$26:$F$33))</f>
        <v>6.3319039999999998</v>
      </c>
      <c r="G34" s="110">
        <f>IF(OR(G26="nd",G27="nd",G28="nd",G29="nd",G30="nd",G31="nd",G32="nd",G33="nd"),"nd",SUM($G$26:$G$33))</f>
        <v>12.400000000000002</v>
      </c>
      <c r="H34" s="110">
        <f>IF(OR(H26="nd",H27="nd",H28="nd",H29="nd",H30="nd",H31="nd",H32="nd",H33="nd"),"nd",SUM($H$26:$H$33))</f>
        <v>17.560000000000002</v>
      </c>
      <c r="I34" s="110">
        <f>IF(OR(I26="nd",I27="nd",I28="nd",I29="nd",I30="nd",I31="nd",I32="nd",I33="nd"),"nd",SUM($I$26:$I$33))</f>
        <v>18</v>
      </c>
      <c r="J34" s="110">
        <f>IF(OR(J26="nd",J27="nd",J28="nd",J29="nd",J30="nd",J31="nd",J32="nd",J33="nd"),"nd",SUM(J26:J33))</f>
        <v>18</v>
      </c>
      <c r="K34" s="110">
        <f>IF(OR(K26="nd",K27="nd",K28="nd",K29="nd",K30="nd",K31="nd",K32="nd",K33="nd"),"nd",SUM(K26:K33))</f>
        <v>18</v>
      </c>
    </row>
    <row r="35" spans="1:11">
      <c r="A35" s="108"/>
      <c r="B35" s="98" t="s">
        <v>296</v>
      </c>
      <c r="C35" s="45" t="s">
        <v>4</v>
      </c>
      <c r="D35" s="45" t="str">
        <f>'General Info'!D4</f>
        <v>FY 2008-2009</v>
      </c>
      <c r="E35" s="45" t="str">
        <f>'General Info'!E4</f>
        <v>FY 2009-2010</v>
      </c>
      <c r="F35" s="45" t="str">
        <f>'General Info'!F4</f>
        <v>FY 2010-2011</v>
      </c>
      <c r="G35" s="45" t="str">
        <f>'General Info'!G4</f>
        <v>FY 2011-2012</v>
      </c>
      <c r="H35" s="45" t="str">
        <f>'General Info'!H4</f>
        <v>FY 2012-2013</v>
      </c>
      <c r="I35" s="45" t="str">
        <f>'General Info'!I4</f>
        <v>FY 2013-2014</v>
      </c>
      <c r="J35" s="45" t="str">
        <f>'General Info'!J4</f>
        <v>FY 2014-2015</v>
      </c>
      <c r="K35" s="45" t="str">
        <f>'General Info'!K4</f>
        <v>FY 2015-2016</v>
      </c>
    </row>
    <row r="36" spans="1:11">
      <c r="A36" s="100">
        <v>3.18</v>
      </c>
      <c r="B36" s="111" t="s">
        <v>297</v>
      </c>
      <c r="C36" s="10" t="s">
        <v>96</v>
      </c>
      <c r="D36" s="151"/>
      <c r="E36" s="151"/>
      <c r="F36" s="151"/>
      <c r="G36" s="422">
        <v>0</v>
      </c>
      <c r="H36" s="422">
        <v>0</v>
      </c>
      <c r="I36" s="422">
        <v>0</v>
      </c>
      <c r="J36" s="422" t="s">
        <v>961</v>
      </c>
      <c r="K36" s="422" t="s">
        <v>961</v>
      </c>
    </row>
    <row r="37" spans="1:11">
      <c r="A37" s="100">
        <v>3.19</v>
      </c>
      <c r="B37" s="111" t="s">
        <v>298</v>
      </c>
      <c r="C37" s="10" t="s">
        <v>96</v>
      </c>
      <c r="D37" s="151"/>
      <c r="E37" s="151"/>
      <c r="F37" s="151"/>
      <c r="G37" s="422">
        <v>0</v>
      </c>
      <c r="H37" s="422">
        <v>0</v>
      </c>
      <c r="I37" s="422">
        <v>0</v>
      </c>
      <c r="J37" s="422" t="s">
        <v>961</v>
      </c>
      <c r="K37" s="422" t="s">
        <v>961</v>
      </c>
    </row>
    <row r="38" spans="1:11">
      <c r="A38" s="100"/>
      <c r="B38" s="101" t="s">
        <v>299</v>
      </c>
      <c r="C38" s="10" t="s">
        <v>96</v>
      </c>
      <c r="D38" s="102">
        <f t="shared" ref="D38:J38" si="7">IF(OR(D36="nd",D37="nd"),"nd",IF(AND(D36="na",D37="na"),"na",SUM($E$36:$E$37)))</f>
        <v>0</v>
      </c>
      <c r="E38" s="102">
        <f t="shared" si="7"/>
        <v>0</v>
      </c>
      <c r="F38" s="102">
        <f t="shared" si="7"/>
        <v>0</v>
      </c>
      <c r="G38" s="102">
        <f t="shared" si="7"/>
        <v>0</v>
      </c>
      <c r="H38" s="102">
        <f t="shared" si="7"/>
        <v>0</v>
      </c>
      <c r="I38" s="102">
        <f t="shared" si="7"/>
        <v>0</v>
      </c>
      <c r="J38" s="102" t="str">
        <f t="shared" si="7"/>
        <v>na</v>
      </c>
      <c r="K38" s="102" t="str">
        <f>IF(OR(K36="nd",K37="nd"),"nd",IF(AND(K36="na",K37="na"),"na",SUM($E$36:$E$37)))</f>
        <v>na</v>
      </c>
    </row>
    <row r="40" spans="1:11">
      <c r="A40" s="95">
        <v>4</v>
      </c>
      <c r="B40" s="114" t="s">
        <v>300</v>
      </c>
      <c r="C40" s="107" t="s">
        <v>16</v>
      </c>
      <c r="D40" s="58" t="e">
        <f t="shared" ref="D40:I40" si="8">IF(D42="na","na",IF(OR(D42="nd",D44="nd"),"nd",D42*100/D44))</f>
        <v>#DIV/0!</v>
      </c>
      <c r="E40" s="58" t="e">
        <f t="shared" si="8"/>
        <v>#DIV/0!</v>
      </c>
      <c r="F40" s="58">
        <f t="shared" si="8"/>
        <v>0</v>
      </c>
      <c r="G40" s="58">
        <f t="shared" si="8"/>
        <v>0</v>
      </c>
      <c r="H40" s="58">
        <f t="shared" si="8"/>
        <v>0</v>
      </c>
      <c r="I40" s="58">
        <f t="shared" si="8"/>
        <v>0</v>
      </c>
      <c r="J40" s="58" t="str">
        <f>IF(J42="na","na",IF(OR(J42="nd",J44="nd"),"nd",J42*100/J44))</f>
        <v>na</v>
      </c>
      <c r="K40" s="58" t="str">
        <f>IF(K42="na","na",IF(OR(K42="nd",K44="nd"),"nd",K42*100/K44))</f>
        <v>na</v>
      </c>
    </row>
    <row r="41" spans="1:11">
      <c r="A41" s="100">
        <v>4.0999999999999996</v>
      </c>
      <c r="B41" s="111" t="s">
        <v>301</v>
      </c>
      <c r="C41" s="10" t="s">
        <v>96</v>
      </c>
      <c r="D41" s="151"/>
      <c r="E41" s="151"/>
      <c r="F41" s="151"/>
      <c r="G41" s="422">
        <v>0</v>
      </c>
      <c r="H41" s="422">
        <v>0</v>
      </c>
      <c r="I41" s="422">
        <v>0</v>
      </c>
      <c r="J41" s="422" t="s">
        <v>961</v>
      </c>
      <c r="K41" s="422" t="s">
        <v>961</v>
      </c>
    </row>
    <row r="42" spans="1:11">
      <c r="A42" s="100">
        <v>4.2</v>
      </c>
      <c r="B42" s="111" t="s">
        <v>302</v>
      </c>
      <c r="C42" s="10" t="s">
        <v>96</v>
      </c>
      <c r="D42" s="151"/>
      <c r="E42" s="151"/>
      <c r="F42" s="151"/>
      <c r="G42" s="422">
        <v>0</v>
      </c>
      <c r="H42" s="422">
        <v>0</v>
      </c>
      <c r="I42" s="422">
        <v>0</v>
      </c>
      <c r="J42" s="422" t="s">
        <v>961</v>
      </c>
      <c r="K42" s="422" t="s">
        <v>961</v>
      </c>
    </row>
    <row r="43" spans="1:11">
      <c r="A43" s="301">
        <v>4.3</v>
      </c>
      <c r="B43" s="101" t="s">
        <v>303</v>
      </c>
      <c r="C43" s="10" t="s">
        <v>96</v>
      </c>
      <c r="D43" s="102">
        <f>IF(OR(D41="nd",D42="nd"),"nd",IF(AND(D41="na",D42="na"),"na",SUM($D$41:$D$42)))</f>
        <v>0</v>
      </c>
      <c r="E43" s="102">
        <f>IF(OR(E41="nd",E42="nd"),"nd",IF(AND(E41="na",E42="na"),"na",SUM($E$41:$E$42)))</f>
        <v>0</v>
      </c>
      <c r="F43" s="102">
        <f>IF(OR(F41="nd",F42="nd"),"nd",IF(AND(F41="na",F42="na"),"na",SUM($F$41:$F$42)))</f>
        <v>0</v>
      </c>
      <c r="G43" s="102">
        <f>IF(OR(G41="nd",G42="nd"),"nd",IF(AND(G41="na",G42="na"),"na",SUM($G$41:$G$42)))</f>
        <v>0</v>
      </c>
      <c r="H43" s="102">
        <f>IF(OR(H41="nd",H42="nd"),"nd",IF(AND(H41="na",H42="na"),"na",SUM($H$41:$H$42)))</f>
        <v>0</v>
      </c>
      <c r="I43" s="102">
        <f>IF(OR(I41="nd",I42="nd"),"nd",IF(AND(I41="na",I42="na"),"na",SUM($I$41:$I$42)))</f>
        <v>0</v>
      </c>
      <c r="J43" s="102" t="str">
        <f>IF(OR(J41="nd",J42="nd"),"nd",IF(AND(J41="na",J42="na"),"na",SUM($J$41:$J$42)))</f>
        <v>na</v>
      </c>
      <c r="K43" s="102" t="str">
        <f>IF(OR(K41="nd",K42="nd"),"nd",IF(AND(K41="na",K42="na"),"na",SUM($J$41:$J$42)))</f>
        <v>na</v>
      </c>
    </row>
    <row r="44" spans="1:11">
      <c r="A44" s="301">
        <v>4.4000000000000004</v>
      </c>
      <c r="B44" s="101" t="s">
        <v>295</v>
      </c>
      <c r="C44" s="10" t="s">
        <v>96</v>
      </c>
      <c r="D44" s="102">
        <f t="shared" ref="D44:K44" si="9">D34</f>
        <v>0</v>
      </c>
      <c r="E44" s="110">
        <f t="shared" si="9"/>
        <v>0</v>
      </c>
      <c r="F44" s="110">
        <f t="shared" si="9"/>
        <v>6.3319039999999998</v>
      </c>
      <c r="G44" s="110">
        <f t="shared" si="9"/>
        <v>12.400000000000002</v>
      </c>
      <c r="H44" s="110">
        <f t="shared" si="9"/>
        <v>17.560000000000002</v>
      </c>
      <c r="I44" s="110">
        <f t="shared" si="9"/>
        <v>18</v>
      </c>
      <c r="J44" s="110">
        <f t="shared" si="9"/>
        <v>18</v>
      </c>
      <c r="K44" s="110">
        <f t="shared" si="9"/>
        <v>18</v>
      </c>
    </row>
    <row r="45" spans="1:11">
      <c r="A45" s="100"/>
      <c r="B45" s="115"/>
      <c r="C45" s="116"/>
      <c r="D45" s="116"/>
      <c r="E45" s="100"/>
      <c r="F45" s="100"/>
      <c r="G45" s="100"/>
      <c r="H45" s="100"/>
      <c r="I45" s="100"/>
      <c r="J45" s="100"/>
      <c r="K45" s="100"/>
    </row>
    <row r="46" spans="1:11">
      <c r="A46" s="95">
        <v>5</v>
      </c>
      <c r="B46" s="114" t="s">
        <v>304</v>
      </c>
      <c r="C46" s="107" t="s">
        <v>16</v>
      </c>
      <c r="D46" s="117" t="e">
        <f t="shared" ref="D46:I46" si="10">IF(OR(D47="na",D48="na"),"na",IF(OR(D48="nd",D47="nd"),"nd",D48*100/D47))</f>
        <v>#DIV/0!</v>
      </c>
      <c r="E46" s="117" t="e">
        <f t="shared" si="10"/>
        <v>#DIV/0!</v>
      </c>
      <c r="F46" s="117" t="e">
        <f t="shared" si="10"/>
        <v>#DIV/0!</v>
      </c>
      <c r="G46" s="117" t="e">
        <f t="shared" si="10"/>
        <v>#DIV/0!</v>
      </c>
      <c r="H46" s="117" t="e">
        <f t="shared" si="10"/>
        <v>#DIV/0!</v>
      </c>
      <c r="I46" s="117" t="e">
        <f t="shared" si="10"/>
        <v>#DIV/0!</v>
      </c>
      <c r="J46" s="117" t="str">
        <f>IF(OR(J47="na",J48="na"),"na",IF(OR(J48="nd",J47="nd"),"nd",J48*100/J47))</f>
        <v>na</v>
      </c>
      <c r="K46" s="117" t="str">
        <f>IF(OR(K47="na",K48="na"),"na",IF(OR(K48="nd",K47="nd"),"nd",K48*100/K47))</f>
        <v>na</v>
      </c>
    </row>
    <row r="47" spans="1:11">
      <c r="A47" s="100">
        <v>5.0999999999999996</v>
      </c>
      <c r="B47" s="101" t="str">
        <f>$B$37</f>
        <v>Volume of sewage actually treated at Secondary Treatment Plant</v>
      </c>
      <c r="C47" s="10" t="s">
        <v>96</v>
      </c>
      <c r="D47" s="102">
        <f t="shared" ref="D47:K47" si="11">D37</f>
        <v>0</v>
      </c>
      <c r="E47" s="102">
        <f t="shared" si="11"/>
        <v>0</v>
      </c>
      <c r="F47" s="102">
        <f t="shared" si="11"/>
        <v>0</v>
      </c>
      <c r="G47" s="102">
        <f t="shared" si="11"/>
        <v>0</v>
      </c>
      <c r="H47" s="102">
        <f t="shared" si="11"/>
        <v>0</v>
      </c>
      <c r="I47" s="102">
        <f t="shared" si="11"/>
        <v>0</v>
      </c>
      <c r="J47" s="102" t="str">
        <f t="shared" si="11"/>
        <v>NA</v>
      </c>
      <c r="K47" s="102" t="str">
        <f t="shared" si="11"/>
        <v>NA</v>
      </c>
    </row>
    <row r="48" spans="1:11">
      <c r="A48" s="100">
        <v>5.2</v>
      </c>
      <c r="B48" s="111" t="s">
        <v>305</v>
      </c>
      <c r="C48" s="10" t="s">
        <v>96</v>
      </c>
      <c r="D48" s="166"/>
      <c r="E48" s="166"/>
      <c r="F48" s="166"/>
      <c r="G48" s="422">
        <v>0</v>
      </c>
      <c r="H48" s="422">
        <v>0</v>
      </c>
      <c r="I48" s="422">
        <v>0</v>
      </c>
      <c r="J48" s="422" t="s">
        <v>961</v>
      </c>
      <c r="K48" s="422" t="s">
        <v>961</v>
      </c>
    </row>
    <row r="50" spans="1:11">
      <c r="A50" s="95">
        <v>6</v>
      </c>
      <c r="B50" s="114" t="s">
        <v>306</v>
      </c>
      <c r="C50" s="107" t="s">
        <v>16</v>
      </c>
      <c r="D50" s="58" t="e">
        <f t="shared" ref="D50:I50" si="12">IF(OR(D53="na",D52="na"),"na",IF(OR(D53="nd",D52="nd"),"nd",D53*100/D52))</f>
        <v>#DIV/0!</v>
      </c>
      <c r="E50" s="58" t="e">
        <f t="shared" si="12"/>
        <v>#DIV/0!</v>
      </c>
      <c r="F50" s="58" t="e">
        <f t="shared" si="12"/>
        <v>#DIV/0!</v>
      </c>
      <c r="G50" s="58" t="e">
        <f t="shared" si="12"/>
        <v>#DIV/0!</v>
      </c>
      <c r="H50" s="58" t="e">
        <f t="shared" si="12"/>
        <v>#DIV/0!</v>
      </c>
      <c r="I50" s="58" t="e">
        <f t="shared" si="12"/>
        <v>#DIV/0!</v>
      </c>
      <c r="J50" s="58" t="str">
        <f>IF(OR(J53="na",J52="na"),"na",IF(OR(J53="nd",J52="nd"),"nd",J53*100/J52))</f>
        <v>na</v>
      </c>
      <c r="K50" s="58" t="str">
        <f>IF(OR(K53="na",K52="na"),"na",IF(OR(K53="nd",K52="nd"),"nd",K53*100/K52))</f>
        <v>na</v>
      </c>
    </row>
    <row r="51" spans="1:11">
      <c r="A51" s="108"/>
      <c r="B51" s="98" t="s">
        <v>307</v>
      </c>
      <c r="C51" s="45" t="s">
        <v>4</v>
      </c>
      <c r="D51" s="45" t="str">
        <f>'General Info'!D4</f>
        <v>FY 2008-2009</v>
      </c>
      <c r="E51" s="45" t="str">
        <f>'General Info'!E4</f>
        <v>FY 2009-2010</v>
      </c>
      <c r="F51" s="45" t="str">
        <f>'General Info'!F4</f>
        <v>FY 2010-2011</v>
      </c>
      <c r="G51" s="45" t="str">
        <f>'General Info'!G4</f>
        <v>FY 2011-2012</v>
      </c>
      <c r="H51" s="45" t="str">
        <f>'General Info'!H4</f>
        <v>FY 2012-2013</v>
      </c>
      <c r="I51" s="45" t="str">
        <f>'General Info'!I4</f>
        <v>FY 2013-2014</v>
      </c>
      <c r="J51" s="45" t="str">
        <f>'General Info'!J4</f>
        <v>FY 2014-2015</v>
      </c>
      <c r="K51" s="45" t="str">
        <f>'General Info'!K4</f>
        <v>FY 2015-2016</v>
      </c>
    </row>
    <row r="52" spans="1:11">
      <c r="A52" s="100">
        <v>6.1</v>
      </c>
      <c r="B52" s="111" t="s">
        <v>308</v>
      </c>
      <c r="C52" s="10" t="s">
        <v>19</v>
      </c>
      <c r="D52" s="151"/>
      <c r="E52" s="151"/>
      <c r="F52" s="151"/>
      <c r="G52" s="421">
        <v>0</v>
      </c>
      <c r="H52" s="421">
        <v>0</v>
      </c>
      <c r="I52" s="421">
        <v>0</v>
      </c>
      <c r="J52" s="422" t="s">
        <v>961</v>
      </c>
      <c r="K52" s="422" t="s">
        <v>961</v>
      </c>
    </row>
    <row r="53" spans="1:11">
      <c r="A53" s="100">
        <v>6.2</v>
      </c>
      <c r="B53" s="111" t="s">
        <v>309</v>
      </c>
      <c r="C53" s="10" t="s">
        <v>19</v>
      </c>
      <c r="D53" s="151"/>
      <c r="E53" s="151"/>
      <c r="F53" s="151"/>
      <c r="G53" s="421">
        <v>0</v>
      </c>
      <c r="H53" s="421">
        <v>0</v>
      </c>
      <c r="I53" s="421">
        <v>0</v>
      </c>
      <c r="J53" s="422" t="s">
        <v>961</v>
      </c>
      <c r="K53" s="422" t="s">
        <v>961</v>
      </c>
    </row>
    <row r="55" spans="1:11">
      <c r="A55" s="95">
        <v>7</v>
      </c>
      <c r="B55" s="114" t="s">
        <v>310</v>
      </c>
      <c r="C55" s="107" t="s">
        <v>16</v>
      </c>
      <c r="D55" s="117" t="e">
        <f t="shared" ref="D55:I55" si="13">IF(OR(D58="na",D57="na"),"na",IF(OR(D58="nd",D57="nd"),"nd",D58*100/D57))</f>
        <v>#DIV/0!</v>
      </c>
      <c r="E55" s="117" t="e">
        <f t="shared" si="13"/>
        <v>#DIV/0!</v>
      </c>
      <c r="F55" s="117" t="e">
        <f t="shared" si="13"/>
        <v>#DIV/0!</v>
      </c>
      <c r="G55" s="117" t="e">
        <f t="shared" si="13"/>
        <v>#DIV/0!</v>
      </c>
      <c r="H55" s="117" t="e">
        <f t="shared" si="13"/>
        <v>#DIV/0!</v>
      </c>
      <c r="I55" s="117" t="e">
        <f t="shared" si="13"/>
        <v>#DIV/0!</v>
      </c>
      <c r="J55" s="117">
        <f>IF(OR(J58="na",J57="na"),"na",IF(OR(J58="nd",J57="nd"),"nd",J58*100/J57))</f>
        <v>82</v>
      </c>
      <c r="K55" s="117">
        <f>IF(OR(K58="na",K57="na"),"na",IF(OR(K58="nd",K57="nd"),"nd",K58*100/K57))</f>
        <v>85</v>
      </c>
    </row>
    <row r="56" spans="1:11">
      <c r="A56" s="108"/>
      <c r="B56" s="98" t="s">
        <v>135</v>
      </c>
      <c r="C56" s="45" t="s">
        <v>4</v>
      </c>
      <c r="D56" s="45" t="str">
        <f>'General Info'!D4</f>
        <v>FY 2008-2009</v>
      </c>
      <c r="E56" s="45" t="str">
        <f>'General Info'!E4</f>
        <v>FY 2009-2010</v>
      </c>
      <c r="F56" s="45" t="str">
        <f>'General Info'!F4</f>
        <v>FY 2010-2011</v>
      </c>
      <c r="G56" s="45" t="str">
        <f>'General Info'!G4</f>
        <v>FY 2011-2012</v>
      </c>
      <c r="H56" s="45" t="str">
        <f>'General Info'!H4</f>
        <v>FY 2012-2013</v>
      </c>
      <c r="I56" s="45" t="str">
        <f>'General Info'!I4</f>
        <v>FY 2013-2014</v>
      </c>
      <c r="J56" s="45" t="str">
        <f>'General Info'!J4</f>
        <v>FY 2014-2015</v>
      </c>
      <c r="K56" s="45" t="str">
        <f>'General Info'!K4</f>
        <v>FY 2015-2016</v>
      </c>
    </row>
    <row r="57" spans="1:11">
      <c r="A57" s="100">
        <v>7.1</v>
      </c>
      <c r="B57" s="118" t="s">
        <v>311</v>
      </c>
      <c r="C57" s="10" t="s">
        <v>19</v>
      </c>
      <c r="D57" s="113"/>
      <c r="E57" s="113"/>
      <c r="F57" s="113"/>
      <c r="G57" s="421">
        <v>0</v>
      </c>
      <c r="H57" s="421">
        <v>0</v>
      </c>
      <c r="I57" s="421">
        <v>0</v>
      </c>
      <c r="J57" s="421">
        <v>3600</v>
      </c>
      <c r="K57" s="421">
        <v>3720</v>
      </c>
    </row>
    <row r="58" spans="1:11">
      <c r="A58" s="100">
        <v>7.2</v>
      </c>
      <c r="B58" s="118" t="s">
        <v>312</v>
      </c>
      <c r="C58" s="10" t="s">
        <v>19</v>
      </c>
      <c r="D58" s="113"/>
      <c r="E58" s="113"/>
      <c r="F58" s="113"/>
      <c r="G58" s="421">
        <v>0</v>
      </c>
      <c r="H58" s="421">
        <v>0</v>
      </c>
      <c r="I58" s="421">
        <v>0</v>
      </c>
      <c r="J58" s="421">
        <v>2952</v>
      </c>
      <c r="K58" s="421">
        <v>3162</v>
      </c>
    </row>
    <row r="60" spans="1:11">
      <c r="A60" s="95">
        <v>8</v>
      </c>
      <c r="B60" s="114" t="s">
        <v>313</v>
      </c>
      <c r="C60" s="96" t="s">
        <v>16</v>
      </c>
      <c r="D60" s="117" t="e">
        <f t="shared" ref="D60:I60" si="14">IF(D75="na","na",IF(OR(D75="nd",D69="nd"),"nd",D75*100/D69))</f>
        <v>#DIV/0!</v>
      </c>
      <c r="E60" s="117" t="e">
        <f t="shared" si="14"/>
        <v>#DIV/0!</v>
      </c>
      <c r="F60" s="117" t="e">
        <f t="shared" si="14"/>
        <v>#DIV/0!</v>
      </c>
      <c r="G60" s="117" t="e">
        <f t="shared" si="14"/>
        <v>#DIV/0!</v>
      </c>
      <c r="H60" s="117" t="e">
        <f t="shared" si="14"/>
        <v>#DIV/0!</v>
      </c>
      <c r="I60" s="117" t="e">
        <f t="shared" si="14"/>
        <v>#DIV/0!</v>
      </c>
      <c r="J60" s="117">
        <f>IF(J75="na","na",IF(OR(J75="nd",J69="nd"),"nd",J75*100/J69))</f>
        <v>6.1789473684210527</v>
      </c>
      <c r="K60" s="117">
        <f>IF(K75="na","na",IF(OR(K75="nd",K69="nd"),"nd",K75*100/K69))</f>
        <v>7</v>
      </c>
    </row>
    <row r="61" spans="1:11">
      <c r="A61" s="108"/>
      <c r="B61" s="98" t="s">
        <v>314</v>
      </c>
      <c r="C61" s="45" t="s">
        <v>4</v>
      </c>
      <c r="D61" s="45" t="str">
        <f>'General Info'!D4</f>
        <v>FY 2008-2009</v>
      </c>
      <c r="E61" s="45" t="str">
        <f>'General Info'!E4</f>
        <v>FY 2009-2010</v>
      </c>
      <c r="F61" s="45" t="str">
        <f>'General Info'!F4</f>
        <v>FY 2010-2011</v>
      </c>
      <c r="G61" s="45" t="str">
        <f>'General Info'!G4</f>
        <v>FY 2011-2012</v>
      </c>
      <c r="H61" s="45" t="str">
        <f>'General Info'!H4</f>
        <v>FY 2012-2013</v>
      </c>
      <c r="I61" s="45" t="str">
        <f>'General Info'!I4</f>
        <v>FY 2013-2014</v>
      </c>
      <c r="J61" s="45" t="str">
        <f>'General Info'!J4</f>
        <v>FY 2014-2015</v>
      </c>
      <c r="K61" s="45" t="str">
        <f>'General Info'!K4</f>
        <v>FY 2015-2016</v>
      </c>
    </row>
    <row r="62" spans="1:11">
      <c r="A62" s="100">
        <v>8.1</v>
      </c>
      <c r="B62" s="111" t="s">
        <v>315</v>
      </c>
      <c r="C62" s="10" t="s">
        <v>161</v>
      </c>
      <c r="D62" s="151"/>
      <c r="E62" s="151"/>
      <c r="F62" s="151"/>
      <c r="G62" s="422">
        <v>0</v>
      </c>
      <c r="H62" s="422">
        <v>0</v>
      </c>
      <c r="I62" s="422">
        <v>0</v>
      </c>
      <c r="J62" s="422">
        <v>160</v>
      </c>
      <c r="K62" s="422">
        <v>165</v>
      </c>
    </row>
    <row r="63" spans="1:11">
      <c r="A63" s="100">
        <v>8.1999999999999993</v>
      </c>
      <c r="B63" s="111" t="s">
        <v>316</v>
      </c>
      <c r="C63" s="10" t="s">
        <v>161</v>
      </c>
      <c r="D63" s="151"/>
      <c r="E63" s="151"/>
      <c r="F63" s="151"/>
      <c r="G63" s="422">
        <v>0</v>
      </c>
      <c r="H63" s="422">
        <v>0</v>
      </c>
      <c r="I63" s="422">
        <v>0</v>
      </c>
      <c r="J63" s="422">
        <v>15</v>
      </c>
      <c r="K63" s="422">
        <v>17</v>
      </c>
    </row>
    <row r="64" spans="1:11">
      <c r="A64" s="100">
        <v>8.3000000000000007</v>
      </c>
      <c r="B64" s="111" t="s">
        <v>317</v>
      </c>
      <c r="C64" s="10" t="s">
        <v>161</v>
      </c>
      <c r="D64" s="151"/>
      <c r="E64" s="151"/>
      <c r="F64" s="151"/>
      <c r="G64" s="422">
        <v>0</v>
      </c>
      <c r="H64" s="422">
        <v>0</v>
      </c>
      <c r="I64" s="422">
        <v>0</v>
      </c>
      <c r="J64" s="422">
        <v>10</v>
      </c>
      <c r="K64" s="422">
        <v>11</v>
      </c>
    </row>
    <row r="65" spans="1:11">
      <c r="A65" s="100">
        <v>8.4</v>
      </c>
      <c r="B65" s="111" t="s">
        <v>318</v>
      </c>
      <c r="C65" s="10" t="s">
        <v>161</v>
      </c>
      <c r="D65" s="151"/>
      <c r="E65" s="151"/>
      <c r="F65" s="151"/>
      <c r="G65" s="422">
        <v>0</v>
      </c>
      <c r="H65" s="422">
        <v>0</v>
      </c>
      <c r="I65" s="422">
        <v>0</v>
      </c>
      <c r="J65" s="422">
        <v>4</v>
      </c>
      <c r="K65" s="422">
        <v>5</v>
      </c>
    </row>
    <row r="66" spans="1:11">
      <c r="A66" s="100">
        <v>8.5</v>
      </c>
      <c r="B66" s="111" t="s">
        <v>165</v>
      </c>
      <c r="C66" s="10" t="s">
        <v>161</v>
      </c>
      <c r="D66" s="151"/>
      <c r="E66" s="151"/>
      <c r="F66" s="151"/>
      <c r="G66" s="422">
        <v>0</v>
      </c>
      <c r="H66" s="422">
        <v>0</v>
      </c>
      <c r="I66" s="422">
        <v>0</v>
      </c>
      <c r="J66" s="422">
        <v>1</v>
      </c>
      <c r="K66" s="422">
        <v>2</v>
      </c>
    </row>
    <row r="67" spans="1:11">
      <c r="A67" s="100">
        <v>8.6</v>
      </c>
      <c r="B67" s="111" t="s">
        <v>319</v>
      </c>
      <c r="C67" s="10" t="s">
        <v>161</v>
      </c>
      <c r="D67" s="151"/>
      <c r="E67" s="151"/>
      <c r="F67" s="151"/>
      <c r="G67" s="422">
        <v>0</v>
      </c>
      <c r="H67" s="422">
        <v>0</v>
      </c>
      <c r="I67" s="422">
        <v>0</v>
      </c>
      <c r="J67" s="422">
        <v>0</v>
      </c>
      <c r="K67" s="422">
        <v>0</v>
      </c>
    </row>
    <row r="68" spans="1:11">
      <c r="A68" s="100">
        <v>8.6999999999999993</v>
      </c>
      <c r="B68" s="111" t="s">
        <v>320</v>
      </c>
      <c r="C68" s="10" t="s">
        <v>161</v>
      </c>
      <c r="D68" s="151"/>
      <c r="E68" s="151"/>
      <c r="F68" s="151"/>
      <c r="G68" s="422">
        <v>0</v>
      </c>
      <c r="H68" s="422">
        <v>0</v>
      </c>
      <c r="I68" s="422">
        <v>0</v>
      </c>
      <c r="J68" s="422">
        <v>0</v>
      </c>
      <c r="K68" s="422">
        <v>0</v>
      </c>
    </row>
    <row r="69" spans="1:11">
      <c r="A69" s="100"/>
      <c r="B69" s="101" t="s">
        <v>321</v>
      </c>
      <c r="C69" s="10" t="s">
        <v>161</v>
      </c>
      <c r="D69" s="119">
        <f>IF(OR(D62="nd",D63="nd",D64="nd",D65="nd",D66="nd",D67="nd",D68="nd"),"nd",SUM($D$62:$D$68))</f>
        <v>0</v>
      </c>
      <c r="E69" s="119">
        <f>IF(OR(E62="nd",E63="nd",E64="nd",E65="nd",E66="nd",E67="nd",E68="nd"),"nd",SUM($E$62:$E$68))</f>
        <v>0</v>
      </c>
      <c r="F69" s="119">
        <f>IF(OR(F62="nd",F63="nd",F64="nd",F65="nd",F66="nd",F67="nd",F68="nd"),"nd",SUM($F$62:$F$68))</f>
        <v>0</v>
      </c>
      <c r="G69" s="119">
        <f>IF(OR(G62="nd",G63="nd",G64="nd",G65="nd",G66="nd",G67="nd",G68="nd"),"nd",SUM($G$62:$G$68))</f>
        <v>0</v>
      </c>
      <c r="H69" s="119">
        <f>IF(OR(H62="nd",H63="nd",H64="nd",H65="nd",H66="nd",H67="nd",H68="nd"),"nd",SUM($H$62:$H$68))</f>
        <v>0</v>
      </c>
      <c r="I69" s="119">
        <f>IF(OR(I62="nd",I63="nd",I64="nd",I65="nd",I66="nd",I67="nd",I68="nd"),"nd",SUM($I$62:$I$68))</f>
        <v>0</v>
      </c>
      <c r="J69" s="119">
        <f>IF(OR(J62="nd",J63="nd",J64="nd",J65="nd",J66="nd",J67="nd",J68="nd"),"nd",SUM(J62:J68))</f>
        <v>190</v>
      </c>
      <c r="K69" s="119">
        <f>IF(OR(K62="nd",K63="nd",K64="nd",K65="nd",K66="nd",K67="nd",K68="nd"),"nd",SUM(K62:K68))</f>
        <v>200</v>
      </c>
    </row>
    <row r="70" spans="1:11">
      <c r="A70" s="108"/>
      <c r="B70" s="120" t="s">
        <v>322</v>
      </c>
      <c r="C70" s="45" t="s">
        <v>4</v>
      </c>
      <c r="D70" s="45" t="str">
        <f>'General Info'!D4</f>
        <v>FY 2008-2009</v>
      </c>
      <c r="E70" s="45" t="str">
        <f>'General Info'!E4</f>
        <v>FY 2009-2010</v>
      </c>
      <c r="F70" s="45" t="str">
        <f>'General Info'!F4</f>
        <v>FY 2010-2011</v>
      </c>
      <c r="G70" s="45" t="str">
        <f>'General Info'!G4</f>
        <v>FY 2011-2012</v>
      </c>
      <c r="H70" s="45" t="str">
        <f>'General Info'!H4</f>
        <v>FY 2012-2013</v>
      </c>
      <c r="I70" s="45" t="str">
        <f>'General Info'!I4</f>
        <v>FY 2013-2014</v>
      </c>
      <c r="J70" s="45" t="str">
        <f>'General Info'!J4</f>
        <v>FY 2014-2015</v>
      </c>
      <c r="K70" s="45" t="str">
        <f>'General Info'!K4</f>
        <v>FY 2015-2016</v>
      </c>
    </row>
    <row r="71" spans="1:11">
      <c r="A71" s="100">
        <v>8.8000000000000007</v>
      </c>
      <c r="B71" s="111" t="s">
        <v>170</v>
      </c>
      <c r="C71" s="10" t="s">
        <v>161</v>
      </c>
      <c r="D71" s="166"/>
      <c r="E71" s="166"/>
      <c r="F71" s="166"/>
      <c r="G71" s="422">
        <v>0</v>
      </c>
      <c r="H71" s="422">
        <v>0</v>
      </c>
      <c r="I71" s="422">
        <v>0</v>
      </c>
      <c r="J71" s="422">
        <v>8.16</v>
      </c>
      <c r="K71" s="422">
        <v>10.32</v>
      </c>
    </row>
    <row r="72" spans="1:11">
      <c r="A72" s="100">
        <v>8.9</v>
      </c>
      <c r="B72" s="111" t="s">
        <v>323</v>
      </c>
      <c r="C72" s="10" t="s">
        <v>161</v>
      </c>
      <c r="D72" s="166"/>
      <c r="E72" s="166"/>
      <c r="F72" s="166"/>
      <c r="G72" s="422">
        <v>0</v>
      </c>
      <c r="H72" s="422">
        <v>0</v>
      </c>
      <c r="I72" s="422">
        <v>0</v>
      </c>
      <c r="J72" s="422">
        <v>0</v>
      </c>
      <c r="K72" s="422">
        <v>0</v>
      </c>
    </row>
    <row r="73" spans="1:11">
      <c r="A73" s="273">
        <v>8.1</v>
      </c>
      <c r="B73" s="111" t="s">
        <v>324</v>
      </c>
      <c r="C73" s="10" t="s">
        <v>161</v>
      </c>
      <c r="D73" s="166"/>
      <c r="E73" s="166"/>
      <c r="F73" s="166"/>
      <c r="G73" s="422">
        <v>0</v>
      </c>
      <c r="H73" s="422">
        <v>0</v>
      </c>
      <c r="I73" s="422">
        <v>0</v>
      </c>
      <c r="J73" s="422">
        <v>11.74</v>
      </c>
      <c r="K73" s="422">
        <v>14</v>
      </c>
    </row>
    <row r="74" spans="1:11">
      <c r="A74" s="100">
        <v>8.11</v>
      </c>
      <c r="B74" s="111" t="s">
        <v>325</v>
      </c>
      <c r="C74" s="10" t="s">
        <v>161</v>
      </c>
      <c r="D74" s="166"/>
      <c r="E74" s="166"/>
      <c r="F74" s="166"/>
      <c r="G74" s="422">
        <v>0</v>
      </c>
      <c r="H74" s="422">
        <v>0</v>
      </c>
      <c r="I74" s="422">
        <v>0</v>
      </c>
      <c r="J74" s="422">
        <v>0</v>
      </c>
      <c r="K74" s="422">
        <v>0</v>
      </c>
    </row>
    <row r="75" spans="1:11">
      <c r="A75" s="100"/>
      <c r="B75" s="101" t="s">
        <v>326</v>
      </c>
      <c r="C75" s="10" t="s">
        <v>161</v>
      </c>
      <c r="D75" s="119">
        <f>IF(AND(D72="na",D73="na",D74="na"),"na",IF(OR(D72="nd",D73="nd",D74="nd"),"nd",SUM($D$72:$D$74)))</f>
        <v>0</v>
      </c>
      <c r="E75" s="119">
        <f>IF(AND(E72="na",E73="na",E74="na"),"na",IF(OR(E72="nd",E73="nd",E74="nd"),"nd",SUM($E$72:$E$74)))</f>
        <v>0</v>
      </c>
      <c r="F75" s="119">
        <f>IF(AND(F72="na",F73="na",F74="na"),"na",IF(OR(F72="nd",F73="nd",F74="nd"),"nd",SUM($F$72:$F$74)))</f>
        <v>0</v>
      </c>
      <c r="G75" s="119">
        <f>IF(AND(G72="na",G73="na",G74="na"),"na",IF(OR(G72="nd",G73="nd",G74="nd"),"nd",SUM($G$72:$G$74)))</f>
        <v>0</v>
      </c>
      <c r="H75" s="119">
        <f>IF(AND(H72="na",H73="na",H74="na"),"na",IF(OR(H72="nd",H73="nd",H74="nd"),"nd",SUM($H$72:$H$74)))</f>
        <v>0</v>
      </c>
      <c r="I75" s="119">
        <f>IF(AND(I72="na",I73="na",I74="na"),"na",IF(OR(I72="nd",I73="nd",I74="nd"),"nd",SUM($I$72:$I$74)))</f>
        <v>0</v>
      </c>
      <c r="J75" s="119">
        <f>IF(AND(J72="na",J73="na",J74="na"),"na",IF(OR(J72="nd",J73="nd",J74="nd"),"nd",SUM(J72:J74)))</f>
        <v>11.74</v>
      </c>
      <c r="K75" s="119">
        <f>IF(AND(K72="na",K73="na",K74="na"),"na",IF(OR(K72="nd",K73="nd",K74="nd"),"nd",SUM(K72:K74)))</f>
        <v>14</v>
      </c>
    </row>
    <row r="77" spans="1:11">
      <c r="A77" s="95">
        <v>9</v>
      </c>
      <c r="B77" s="114" t="s">
        <v>327</v>
      </c>
      <c r="C77" s="107"/>
      <c r="D77" s="121" t="e">
        <f>D81*100/D79</f>
        <v>#DIV/0!</v>
      </c>
      <c r="E77" s="121" t="e">
        <f t="shared" ref="E77:J77" si="15">IF(OR(E81="na",E79="na"),"na",IF(OR(E81="nd",E79="nd"),"nd",E81*100/E79))</f>
        <v>#DIV/0!</v>
      </c>
      <c r="F77" s="121" t="e">
        <f t="shared" si="15"/>
        <v>#DIV/0!</v>
      </c>
      <c r="G77" s="121" t="e">
        <f t="shared" si="15"/>
        <v>#DIV/0!</v>
      </c>
      <c r="H77" s="121" t="e">
        <f t="shared" si="15"/>
        <v>#DIV/0!</v>
      </c>
      <c r="I77" s="121" t="e">
        <f t="shared" si="15"/>
        <v>#DIV/0!</v>
      </c>
      <c r="J77" s="121">
        <f t="shared" si="15"/>
        <v>52.810902896081771</v>
      </c>
      <c r="K77" s="121">
        <f>IF(OR(K81="na",K79="na"),"na",IF(OR(K81="nd",K79="nd"),"nd",K81*100/K79))</f>
        <v>55.571428571428569</v>
      </c>
    </row>
    <row r="78" spans="1:11">
      <c r="A78" s="108"/>
      <c r="B78" s="120"/>
      <c r="C78" s="45" t="s">
        <v>4</v>
      </c>
      <c r="D78" s="45" t="str">
        <f>'General Info'!D4</f>
        <v>FY 2008-2009</v>
      </c>
      <c r="E78" s="45" t="str">
        <f>'General Info'!E4</f>
        <v>FY 2009-2010</v>
      </c>
      <c r="F78" s="45" t="str">
        <f>'General Info'!F4</f>
        <v>FY 2010-2011</v>
      </c>
      <c r="G78" s="45" t="str">
        <f>'General Info'!G4</f>
        <v>FY 2011-2012</v>
      </c>
      <c r="H78" s="45" t="str">
        <f>'General Info'!H4</f>
        <v>FY 2012-2013</v>
      </c>
      <c r="I78" s="45" t="str">
        <f>'General Info'!I4</f>
        <v>FY 2013-2014</v>
      </c>
      <c r="J78" s="45" t="str">
        <f>'General Info'!J4</f>
        <v>FY 2014-2015</v>
      </c>
      <c r="K78" s="45" t="str">
        <f>'General Info'!K4</f>
        <v>FY 2015-2016</v>
      </c>
    </row>
    <row r="79" spans="1:11">
      <c r="A79" s="100">
        <v>9.1</v>
      </c>
      <c r="B79" s="101" t="str">
        <f>$B$75</f>
        <v>Total Revenue Demand of the previous year (Current Demand of previous year)</v>
      </c>
      <c r="C79" s="10" t="s">
        <v>161</v>
      </c>
      <c r="D79" s="119">
        <f t="shared" ref="D79:K79" si="16">D75</f>
        <v>0</v>
      </c>
      <c r="E79" s="119">
        <f t="shared" si="16"/>
        <v>0</v>
      </c>
      <c r="F79" s="119">
        <f t="shared" si="16"/>
        <v>0</v>
      </c>
      <c r="G79" s="119">
        <f t="shared" si="16"/>
        <v>0</v>
      </c>
      <c r="H79" s="119">
        <f t="shared" si="16"/>
        <v>0</v>
      </c>
      <c r="I79" s="119">
        <f t="shared" si="16"/>
        <v>0</v>
      </c>
      <c r="J79" s="119">
        <f t="shared" si="16"/>
        <v>11.74</v>
      </c>
      <c r="K79" s="119">
        <f t="shared" si="16"/>
        <v>14</v>
      </c>
    </row>
    <row r="80" spans="1:11">
      <c r="A80" s="100">
        <v>9.1999999999999993</v>
      </c>
      <c r="B80" s="111" t="s">
        <v>328</v>
      </c>
      <c r="C80" s="10" t="s">
        <v>161</v>
      </c>
      <c r="D80" s="113"/>
      <c r="E80" s="113"/>
      <c r="F80" s="113"/>
      <c r="G80" s="422">
        <v>0</v>
      </c>
      <c r="H80" s="422">
        <v>0</v>
      </c>
      <c r="I80" s="422">
        <v>0</v>
      </c>
      <c r="J80" s="422">
        <v>6.8</v>
      </c>
      <c r="K80" s="422">
        <v>10.32</v>
      </c>
    </row>
    <row r="81" spans="1:11">
      <c r="A81" s="100">
        <v>9.3000000000000007</v>
      </c>
      <c r="B81" s="111" t="s">
        <v>329</v>
      </c>
      <c r="C81" s="10" t="s">
        <v>161</v>
      </c>
      <c r="D81" s="113"/>
      <c r="E81" s="113"/>
      <c r="F81" s="113"/>
      <c r="G81" s="422">
        <v>0</v>
      </c>
      <c r="H81" s="422">
        <v>0</v>
      </c>
      <c r="I81" s="422">
        <v>0</v>
      </c>
      <c r="J81" s="422">
        <v>6.2</v>
      </c>
      <c r="K81" s="422">
        <v>7.78</v>
      </c>
    </row>
    <row r="83" spans="1:11">
      <c r="A83" s="436" t="s">
        <v>330</v>
      </c>
      <c r="B83" s="436"/>
      <c r="C83" s="436"/>
      <c r="D83" s="436"/>
      <c r="E83" s="436"/>
      <c r="F83" s="122"/>
      <c r="G83" s="122"/>
      <c r="H83" s="122"/>
      <c r="I83" s="122"/>
      <c r="J83" s="122"/>
      <c r="K83" s="122"/>
    </row>
    <row r="84" spans="1:11">
      <c r="A84" s="95">
        <v>10</v>
      </c>
      <c r="B84" s="123" t="s">
        <v>331</v>
      </c>
      <c r="C84" s="96" t="s">
        <v>16</v>
      </c>
      <c r="D84" s="121" t="e">
        <f>D87*100/D86</f>
        <v>#DIV/0!</v>
      </c>
      <c r="E84" s="121" t="e">
        <f t="shared" ref="E84:J84" si="17">IF(E87="na","na",IF(OR(E86="nd",E87="nd"),"nd",E87*100/E86))</f>
        <v>#DIV/0!</v>
      </c>
      <c r="F84" s="121">
        <f t="shared" si="17"/>
        <v>117.22846441947566</v>
      </c>
      <c r="G84" s="121">
        <f t="shared" si="17"/>
        <v>150</v>
      </c>
      <c r="H84" s="121">
        <f t="shared" si="17"/>
        <v>152.94117647058823</v>
      </c>
      <c r="I84" s="121">
        <f t="shared" si="17"/>
        <v>156.67808219178082</v>
      </c>
      <c r="J84" s="121">
        <f t="shared" si="17"/>
        <v>10.169491525423728</v>
      </c>
      <c r="K84" s="121">
        <f>IF(K87="na","na",IF(OR(K86="nd",K87="nd"),"nd",K87*100/K86))</f>
        <v>13.114754098360656</v>
      </c>
    </row>
    <row r="85" spans="1:11">
      <c r="A85" s="108"/>
      <c r="B85" s="120"/>
      <c r="C85" s="45" t="s">
        <v>4</v>
      </c>
      <c r="D85" s="45" t="str">
        <f>'General Info'!D4</f>
        <v>FY 2008-2009</v>
      </c>
      <c r="E85" s="45" t="str">
        <f>'General Info'!E4</f>
        <v>FY 2009-2010</v>
      </c>
      <c r="F85" s="45" t="str">
        <f>'General Info'!F4</f>
        <v>FY 2010-2011</v>
      </c>
      <c r="G85" s="45" t="str">
        <f>'General Info'!G4</f>
        <v>FY 2011-2012</v>
      </c>
      <c r="H85" s="45" t="str">
        <f>'General Info'!H4</f>
        <v>FY 2012-2013</v>
      </c>
      <c r="I85" s="45" t="str">
        <f>'General Info'!I4</f>
        <v>FY 2013-2014</v>
      </c>
      <c r="J85" s="45" t="str">
        <f>'General Info'!J4</f>
        <v>FY 2014-2015</v>
      </c>
      <c r="K85" s="45" t="str">
        <f>'General Info'!K4</f>
        <v>FY 2015-2016</v>
      </c>
    </row>
    <row r="86" spans="1:11">
      <c r="A86" s="100">
        <v>10.1</v>
      </c>
      <c r="B86" s="124" t="s">
        <v>332</v>
      </c>
      <c r="C86" s="10" t="s">
        <v>333</v>
      </c>
      <c r="D86" s="125"/>
      <c r="E86" s="125"/>
      <c r="F86" s="422">
        <v>267</v>
      </c>
      <c r="G86" s="422">
        <v>228</v>
      </c>
      <c r="H86" s="422">
        <v>238</v>
      </c>
      <c r="I86" s="422">
        <v>584</v>
      </c>
      <c r="J86" s="422">
        <v>590</v>
      </c>
      <c r="K86" s="422">
        <v>610</v>
      </c>
    </row>
    <row r="87" spans="1:11">
      <c r="A87" s="100">
        <v>10.199999999999999</v>
      </c>
      <c r="B87" s="124" t="s">
        <v>334</v>
      </c>
      <c r="C87" s="10" t="s">
        <v>333</v>
      </c>
      <c r="D87" s="125"/>
      <c r="E87" s="125"/>
      <c r="F87" s="422">
        <v>313</v>
      </c>
      <c r="G87" s="422">
        <v>342</v>
      </c>
      <c r="H87" s="422">
        <v>364</v>
      </c>
      <c r="I87" s="422">
        <v>915</v>
      </c>
      <c r="J87" s="422">
        <v>60</v>
      </c>
      <c r="K87" s="422">
        <v>80</v>
      </c>
    </row>
    <row r="88" spans="1:11">
      <c r="A88" s="437"/>
      <c r="B88" s="437"/>
      <c r="C88" s="437"/>
      <c r="D88" s="437"/>
      <c r="E88" s="437"/>
      <c r="F88" s="126"/>
      <c r="G88" s="126"/>
      <c r="H88" s="126"/>
      <c r="I88" s="126"/>
      <c r="J88" s="126"/>
      <c r="K88" s="126"/>
    </row>
    <row r="89" spans="1:11">
      <c r="A89" s="95"/>
      <c r="B89" s="123" t="s">
        <v>335</v>
      </c>
      <c r="C89" s="96" t="s">
        <v>19</v>
      </c>
      <c r="D89" s="95">
        <f>IF(OR(E90="na",E91="na"),"na",IF(OR(E90="nd",E91="nd"),"nd",E90*E91))</f>
        <v>0</v>
      </c>
      <c r="E89" s="95">
        <f t="shared" ref="E89:J89" si="18">IF(OR(E90="na",E91="na"),"na",IF(OR(E90="nd",E91="nd"),"nd",E90*E91))</f>
        <v>0</v>
      </c>
      <c r="F89" s="95">
        <f t="shared" si="18"/>
        <v>0</v>
      </c>
      <c r="G89" s="95">
        <f t="shared" si="18"/>
        <v>5</v>
      </c>
      <c r="H89" s="95">
        <f t="shared" si="18"/>
        <v>4</v>
      </c>
      <c r="I89" s="95">
        <f t="shared" si="18"/>
        <v>3</v>
      </c>
      <c r="J89" s="95">
        <f t="shared" si="18"/>
        <v>3</v>
      </c>
      <c r="K89" s="95">
        <f>IF(OR(K90="na",K91="na"),"na",IF(OR(K90="nd",K91="nd"),"nd",K90*K91))</f>
        <v>3</v>
      </c>
    </row>
    <row r="90" spans="1:11">
      <c r="A90" s="100">
        <v>10.3</v>
      </c>
      <c r="B90" s="124" t="s">
        <v>336</v>
      </c>
      <c r="C90" s="10" t="s">
        <v>19</v>
      </c>
      <c r="D90" s="125"/>
      <c r="E90" s="125"/>
      <c r="F90" s="125"/>
      <c r="G90" s="421">
        <v>5</v>
      </c>
      <c r="H90" s="421">
        <v>4</v>
      </c>
      <c r="I90" s="421">
        <v>3</v>
      </c>
      <c r="J90" s="421">
        <v>3</v>
      </c>
      <c r="K90" s="421">
        <v>3</v>
      </c>
    </row>
    <row r="91" spans="1:11">
      <c r="A91" s="100">
        <v>10.4</v>
      </c>
      <c r="B91" s="124" t="s">
        <v>337</v>
      </c>
      <c r="C91" s="10" t="s">
        <v>19</v>
      </c>
      <c r="D91" s="125"/>
      <c r="E91" s="125"/>
      <c r="F91" s="125"/>
      <c r="G91" s="421">
        <v>1</v>
      </c>
      <c r="H91" s="421">
        <v>1</v>
      </c>
      <c r="I91" s="421">
        <v>1</v>
      </c>
      <c r="J91" s="421">
        <v>1</v>
      </c>
      <c r="K91" s="421">
        <v>1</v>
      </c>
    </row>
    <row r="93" spans="1:11">
      <c r="A93" s="431" t="s">
        <v>179</v>
      </c>
      <c r="B93" s="431"/>
      <c r="C93" s="431"/>
      <c r="D93" s="431"/>
      <c r="E93" s="431"/>
      <c r="F93" s="74"/>
      <c r="G93" s="74"/>
      <c r="H93" s="74"/>
      <c r="I93" s="74"/>
      <c r="J93" s="74"/>
      <c r="K93" s="74"/>
    </row>
    <row r="94" spans="1:11">
      <c r="A94" s="108">
        <v>11</v>
      </c>
      <c r="B94" s="127" t="s">
        <v>180</v>
      </c>
      <c r="C94" s="45" t="s">
        <v>4</v>
      </c>
      <c r="D94" s="45" t="str">
        <f>'General Info'!D4</f>
        <v>FY 2008-2009</v>
      </c>
      <c r="E94" s="45" t="str">
        <f>'General Info'!E4</f>
        <v>FY 2009-2010</v>
      </c>
      <c r="F94" s="45" t="str">
        <f>'General Info'!F4</f>
        <v>FY 2010-2011</v>
      </c>
      <c r="G94" s="45" t="str">
        <f>'General Info'!G4</f>
        <v>FY 2011-2012</v>
      </c>
      <c r="H94" s="45" t="str">
        <f>'General Info'!H4</f>
        <v>FY 2012-2013</v>
      </c>
      <c r="I94" s="45" t="str">
        <f>'General Info'!I4</f>
        <v>FY 2013-2014</v>
      </c>
      <c r="J94" s="45" t="str">
        <f>'General Info'!J4</f>
        <v>FY 2014-2015</v>
      </c>
      <c r="K94" s="45" t="str">
        <f>'General Info'!K4</f>
        <v>FY 2015-2016</v>
      </c>
    </row>
    <row r="95" spans="1:11">
      <c r="A95" s="42">
        <v>11.1</v>
      </c>
      <c r="B95" s="76" t="s">
        <v>181</v>
      </c>
      <c r="C95" s="10" t="s">
        <v>19</v>
      </c>
      <c r="D95" s="76"/>
      <c r="E95" s="76"/>
      <c r="F95" s="76"/>
      <c r="G95" s="424">
        <v>0</v>
      </c>
      <c r="H95" s="76"/>
      <c r="I95" s="424">
        <v>0</v>
      </c>
      <c r="J95" s="424">
        <v>0</v>
      </c>
      <c r="K95" s="424">
        <v>0</v>
      </c>
    </row>
    <row r="96" spans="1:11">
      <c r="A96" s="42">
        <v>11.2</v>
      </c>
      <c r="B96" s="76" t="s">
        <v>182</v>
      </c>
      <c r="C96" s="10" t="s">
        <v>19</v>
      </c>
      <c r="D96" s="76"/>
      <c r="E96" s="76"/>
      <c r="F96" s="76"/>
      <c r="G96" s="424">
        <v>0</v>
      </c>
      <c r="H96" s="76"/>
      <c r="I96" s="424">
        <v>0</v>
      </c>
      <c r="J96" s="424">
        <v>0</v>
      </c>
      <c r="K96" s="424">
        <v>0</v>
      </c>
    </row>
    <row r="97" spans="1:11">
      <c r="A97" s="42">
        <v>11.3</v>
      </c>
      <c r="B97" s="76" t="s">
        <v>183</v>
      </c>
      <c r="C97" s="10" t="s">
        <v>19</v>
      </c>
      <c r="D97" s="76"/>
      <c r="E97" s="76"/>
      <c r="F97" s="76"/>
      <c r="G97" s="424">
        <v>0</v>
      </c>
      <c r="H97" s="76"/>
      <c r="I97" s="424">
        <v>0</v>
      </c>
      <c r="J97" s="424">
        <v>1</v>
      </c>
      <c r="K97" s="424">
        <v>1</v>
      </c>
    </row>
    <row r="98" spans="1:11">
      <c r="A98" s="42">
        <v>11.4</v>
      </c>
      <c r="B98" s="76" t="s">
        <v>184</v>
      </c>
      <c r="C98" s="10" t="s">
        <v>19</v>
      </c>
      <c r="D98" s="76"/>
      <c r="E98" s="76"/>
      <c r="F98" s="76"/>
      <c r="G98" s="424">
        <v>0</v>
      </c>
      <c r="H98" s="76"/>
      <c r="I98" s="424">
        <v>0</v>
      </c>
      <c r="J98" s="424">
        <v>1</v>
      </c>
      <c r="K98" s="424">
        <v>1</v>
      </c>
    </row>
    <row r="99" spans="1:11">
      <c r="A99" s="42">
        <v>11.5</v>
      </c>
      <c r="B99" s="76" t="s">
        <v>185</v>
      </c>
      <c r="C99" s="10" t="s">
        <v>19</v>
      </c>
      <c r="D99" s="76"/>
      <c r="E99" s="76"/>
      <c r="F99" s="76"/>
      <c r="G99" s="424">
        <v>0</v>
      </c>
      <c r="H99" s="76"/>
      <c r="I99" s="424">
        <v>0</v>
      </c>
      <c r="J99" s="424">
        <v>2</v>
      </c>
      <c r="K99" s="424">
        <v>2</v>
      </c>
    </row>
    <row r="100" spans="1:11">
      <c r="A100" s="42">
        <v>11.6</v>
      </c>
      <c r="B100" s="76" t="s">
        <v>186</v>
      </c>
      <c r="C100" s="10" t="s">
        <v>19</v>
      </c>
      <c r="D100" s="76"/>
      <c r="E100" s="76"/>
      <c r="F100" s="76"/>
      <c r="G100" s="424">
        <v>0</v>
      </c>
      <c r="H100" s="76"/>
      <c r="I100" s="424">
        <v>0</v>
      </c>
      <c r="J100" s="424">
        <v>2</v>
      </c>
      <c r="K100" s="424">
        <v>2</v>
      </c>
    </row>
    <row r="101" spans="1:11">
      <c r="A101" s="42">
        <v>11.7</v>
      </c>
      <c r="B101" s="76" t="s">
        <v>338</v>
      </c>
      <c r="C101" s="10" t="s">
        <v>19</v>
      </c>
      <c r="D101" s="76"/>
      <c r="E101" s="76"/>
      <c r="F101" s="76"/>
      <c r="G101" s="424">
        <v>0</v>
      </c>
      <c r="H101" s="76"/>
      <c r="I101" s="424">
        <v>0</v>
      </c>
      <c r="J101" s="424">
        <v>86</v>
      </c>
      <c r="K101" s="424">
        <v>86</v>
      </c>
    </row>
    <row r="102" spans="1:11">
      <c r="A102" s="42">
        <v>11.8</v>
      </c>
      <c r="B102" s="76" t="s">
        <v>339</v>
      </c>
      <c r="C102" s="10" t="s">
        <v>19</v>
      </c>
      <c r="D102" s="76"/>
      <c r="E102" s="76"/>
      <c r="F102" s="76"/>
      <c r="G102" s="424">
        <v>0</v>
      </c>
      <c r="H102" s="76"/>
      <c r="I102" s="424">
        <v>0</v>
      </c>
      <c r="J102" s="424">
        <v>86</v>
      </c>
      <c r="K102" s="424">
        <v>86</v>
      </c>
    </row>
    <row r="103" spans="1:11">
      <c r="A103" s="42"/>
      <c r="B103" s="76" t="s">
        <v>195</v>
      </c>
      <c r="C103" s="10" t="s">
        <v>19</v>
      </c>
      <c r="D103" s="76">
        <f t="shared" ref="D103:H104" si="19">IF(AND(D95="na",D97="na",D99="na",D101="na"),"na",IF(OR(D95="nd",D97="nd",D99="nd",D101="nd"),"nd",SUM(D95,D97,D99,D101)))</f>
        <v>0</v>
      </c>
      <c r="E103" s="76">
        <f t="shared" si="19"/>
        <v>0</v>
      </c>
      <c r="F103" s="76">
        <f t="shared" si="19"/>
        <v>0</v>
      </c>
      <c r="G103" s="76">
        <f t="shared" si="19"/>
        <v>0</v>
      </c>
      <c r="H103" s="76">
        <f t="shared" si="19"/>
        <v>0</v>
      </c>
      <c r="I103" s="76">
        <f t="shared" ref="I103:K104" si="20">IF(AND(I95="na",I97="na",I99="na",I101="na"),"na",IF(OR(I95="nd",I97="nd",I99="nd",I101="nd"),"nd",SUM(I95,I97,I99,I101)))</f>
        <v>0</v>
      </c>
      <c r="J103" s="76">
        <f t="shared" si="20"/>
        <v>89</v>
      </c>
      <c r="K103" s="76">
        <f t="shared" si="20"/>
        <v>89</v>
      </c>
    </row>
    <row r="104" spans="1:11">
      <c r="A104" s="274"/>
      <c r="B104" s="76" t="s">
        <v>196</v>
      </c>
      <c r="C104" s="10" t="s">
        <v>19</v>
      </c>
      <c r="D104" s="76">
        <f t="shared" si="19"/>
        <v>0</v>
      </c>
      <c r="E104" s="76">
        <f t="shared" si="19"/>
        <v>0</v>
      </c>
      <c r="F104" s="76">
        <f t="shared" si="19"/>
        <v>0</v>
      </c>
      <c r="G104" s="76">
        <f t="shared" si="19"/>
        <v>0</v>
      </c>
      <c r="H104" s="76">
        <f t="shared" si="19"/>
        <v>0</v>
      </c>
      <c r="I104" s="76">
        <f t="shared" si="20"/>
        <v>0</v>
      </c>
      <c r="J104" s="76">
        <f t="shared" si="20"/>
        <v>89</v>
      </c>
      <c r="K104" s="76">
        <f t="shared" si="20"/>
        <v>89</v>
      </c>
    </row>
    <row r="105" spans="1:11">
      <c r="A105" s="108"/>
      <c r="B105" s="434" t="s">
        <v>340</v>
      </c>
      <c r="C105" s="434"/>
      <c r="D105" s="434"/>
      <c r="E105" s="434"/>
      <c r="F105" s="128"/>
      <c r="G105" s="128"/>
      <c r="H105" s="128"/>
      <c r="I105" s="128"/>
      <c r="J105" s="128"/>
      <c r="K105" s="128"/>
    </row>
    <row r="106" spans="1:11">
      <c r="A106" s="42">
        <v>11.9</v>
      </c>
      <c r="B106" s="76" t="s">
        <v>341</v>
      </c>
      <c r="C106" s="10" t="s">
        <v>342</v>
      </c>
      <c r="D106" s="76"/>
      <c r="E106" s="76"/>
      <c r="F106" s="423" t="s">
        <v>978</v>
      </c>
      <c r="G106" s="423" t="s">
        <v>963</v>
      </c>
      <c r="H106" s="423" t="s">
        <v>978</v>
      </c>
      <c r="I106" s="423" t="s">
        <v>963</v>
      </c>
      <c r="J106" s="423" t="s">
        <v>962</v>
      </c>
      <c r="K106" s="423" t="s">
        <v>962</v>
      </c>
    </row>
    <row r="107" spans="1:11">
      <c r="A107" s="274">
        <v>11.1</v>
      </c>
      <c r="B107" s="76" t="s">
        <v>343</v>
      </c>
      <c r="C107" s="10" t="s">
        <v>19</v>
      </c>
      <c r="D107" s="76"/>
      <c r="E107" s="76"/>
      <c r="F107" s="76"/>
      <c r="G107" s="424">
        <v>0</v>
      </c>
      <c r="H107" s="76"/>
      <c r="I107" s="424">
        <v>2</v>
      </c>
      <c r="J107" s="424">
        <v>3</v>
      </c>
      <c r="K107" s="424">
        <v>3</v>
      </c>
    </row>
    <row r="108" spans="1:11">
      <c r="A108" s="100">
        <v>11.11</v>
      </c>
      <c r="B108" s="76" t="s">
        <v>344</v>
      </c>
      <c r="C108" s="10" t="s">
        <v>19</v>
      </c>
      <c r="D108" s="76"/>
      <c r="E108" s="76"/>
      <c r="F108" s="76"/>
      <c r="G108" s="424">
        <v>0</v>
      </c>
      <c r="H108" s="76"/>
      <c r="I108" s="424">
        <v>0</v>
      </c>
      <c r="J108" s="424">
        <v>0</v>
      </c>
      <c r="K108" s="424">
        <v>0</v>
      </c>
    </row>
    <row r="109" spans="1:11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</row>
    <row r="110" spans="1:11">
      <c r="B110" s="129" t="s">
        <v>345</v>
      </c>
      <c r="C110" s="130"/>
      <c r="D110" s="130"/>
      <c r="E110" s="130"/>
      <c r="F110" s="130"/>
      <c r="G110" s="130"/>
      <c r="H110" s="130"/>
      <c r="I110" s="130"/>
      <c r="J110" s="130"/>
      <c r="K110" s="130"/>
    </row>
    <row r="111" spans="1:11">
      <c r="A111" s="100">
        <v>11.12</v>
      </c>
      <c r="B111" s="76" t="s">
        <v>198</v>
      </c>
      <c r="C111" s="10" t="s">
        <v>199</v>
      </c>
      <c r="D111" s="76"/>
      <c r="E111" s="76"/>
      <c r="F111" s="76"/>
      <c r="G111" s="423">
        <v>0</v>
      </c>
      <c r="H111" s="76"/>
      <c r="I111" s="423">
        <v>0</v>
      </c>
      <c r="J111" s="422" t="s">
        <v>961</v>
      </c>
      <c r="K111" s="422" t="s">
        <v>961</v>
      </c>
    </row>
    <row r="112" spans="1:11">
      <c r="A112" s="100">
        <v>11.13</v>
      </c>
      <c r="B112" s="76" t="s">
        <v>200</v>
      </c>
      <c r="C112" s="10" t="s">
        <v>199</v>
      </c>
      <c r="D112" s="76"/>
      <c r="E112" s="76"/>
      <c r="F112" s="76"/>
      <c r="G112" s="423">
        <v>0</v>
      </c>
      <c r="H112" s="76"/>
      <c r="I112" s="423">
        <v>0</v>
      </c>
      <c r="J112" s="422" t="s">
        <v>961</v>
      </c>
      <c r="K112" s="422" t="s">
        <v>961</v>
      </c>
    </row>
    <row r="113" spans="1:11">
      <c r="A113" s="100">
        <v>11.14</v>
      </c>
      <c r="B113" s="76" t="s">
        <v>201</v>
      </c>
      <c r="C113" s="10" t="s">
        <v>199</v>
      </c>
      <c r="D113" s="76"/>
      <c r="E113" s="76"/>
      <c r="F113" s="76"/>
      <c r="G113" s="423">
        <v>0</v>
      </c>
      <c r="H113" s="76"/>
      <c r="I113" s="423">
        <v>0</v>
      </c>
      <c r="J113" s="422" t="s">
        <v>961</v>
      </c>
      <c r="K113" s="422" t="s">
        <v>961</v>
      </c>
    </row>
    <row r="114" spans="1:11">
      <c r="A114" s="100">
        <v>11.15</v>
      </c>
      <c r="B114" s="76" t="s">
        <v>202</v>
      </c>
      <c r="C114" s="10" t="s">
        <v>199</v>
      </c>
      <c r="D114" s="76"/>
      <c r="E114" s="76"/>
      <c r="F114" s="76"/>
      <c r="G114" s="423">
        <v>0</v>
      </c>
      <c r="H114" s="76"/>
      <c r="I114" s="423">
        <v>0</v>
      </c>
      <c r="J114" s="422" t="s">
        <v>961</v>
      </c>
      <c r="K114" s="422" t="s">
        <v>961</v>
      </c>
    </row>
    <row r="115" spans="1:11">
      <c r="A115" s="100">
        <v>11.16</v>
      </c>
      <c r="B115" s="76" t="s">
        <v>203</v>
      </c>
      <c r="C115" s="10" t="s">
        <v>199</v>
      </c>
      <c r="D115" s="76"/>
      <c r="E115" s="76"/>
      <c r="F115" s="76"/>
      <c r="G115" s="423">
        <v>0</v>
      </c>
      <c r="H115" s="76"/>
      <c r="I115" s="423">
        <v>0</v>
      </c>
      <c r="J115" s="422" t="s">
        <v>961</v>
      </c>
      <c r="K115" s="422" t="s">
        <v>961</v>
      </c>
    </row>
    <row r="116" spans="1:11">
      <c r="A116" s="100"/>
      <c r="B116" s="131" t="s">
        <v>346</v>
      </c>
      <c r="C116" s="130"/>
      <c r="D116" s="130"/>
      <c r="E116" s="130"/>
      <c r="F116" s="130"/>
      <c r="G116" s="130"/>
      <c r="H116" s="130"/>
      <c r="I116" s="130"/>
      <c r="J116" s="130"/>
      <c r="K116" s="130"/>
    </row>
    <row r="117" spans="1:11">
      <c r="A117" s="100">
        <v>11.17</v>
      </c>
      <c r="B117" s="76" t="s">
        <v>198</v>
      </c>
      <c r="C117" s="10" t="s">
        <v>205</v>
      </c>
      <c r="D117" s="76"/>
      <c r="E117" s="76"/>
      <c r="F117" s="76"/>
      <c r="G117" s="423">
        <v>0</v>
      </c>
      <c r="H117" s="76"/>
      <c r="I117" s="423">
        <v>0</v>
      </c>
      <c r="J117" s="422" t="s">
        <v>961</v>
      </c>
      <c r="K117" s="422" t="s">
        <v>961</v>
      </c>
    </row>
    <row r="118" spans="1:11">
      <c r="A118" s="100">
        <v>11.18</v>
      </c>
      <c r="B118" s="76" t="s">
        <v>200</v>
      </c>
      <c r="C118" s="10" t="s">
        <v>205</v>
      </c>
      <c r="D118" s="76"/>
      <c r="E118" s="76"/>
      <c r="F118" s="76"/>
      <c r="G118" s="423">
        <v>0</v>
      </c>
      <c r="H118" s="76"/>
      <c r="I118" s="423">
        <v>0</v>
      </c>
      <c r="J118" s="422" t="s">
        <v>961</v>
      </c>
      <c r="K118" s="422" t="s">
        <v>961</v>
      </c>
    </row>
    <row r="119" spans="1:11">
      <c r="A119" s="100">
        <v>11.19</v>
      </c>
      <c r="B119" s="76" t="s">
        <v>201</v>
      </c>
      <c r="C119" s="10" t="s">
        <v>205</v>
      </c>
      <c r="D119" s="76"/>
      <c r="E119" s="76"/>
      <c r="F119" s="76"/>
      <c r="G119" s="423">
        <v>0</v>
      </c>
      <c r="H119" s="76"/>
      <c r="I119" s="423">
        <v>0</v>
      </c>
      <c r="J119" s="422" t="s">
        <v>961</v>
      </c>
      <c r="K119" s="422" t="s">
        <v>961</v>
      </c>
    </row>
    <row r="120" spans="1:11">
      <c r="A120" s="273">
        <v>11.2</v>
      </c>
      <c r="B120" s="76" t="s">
        <v>202</v>
      </c>
      <c r="C120" s="10" t="s">
        <v>205</v>
      </c>
      <c r="D120" s="76"/>
      <c r="E120" s="76"/>
      <c r="F120" s="76"/>
      <c r="G120" s="423">
        <v>0</v>
      </c>
      <c r="H120" s="76"/>
      <c r="I120" s="423">
        <v>0</v>
      </c>
      <c r="J120" s="422" t="s">
        <v>961</v>
      </c>
      <c r="K120" s="422" t="s">
        <v>961</v>
      </c>
    </row>
    <row r="121" spans="1:11">
      <c r="A121" s="100">
        <v>11.21</v>
      </c>
      <c r="B121" s="76" t="s">
        <v>203</v>
      </c>
      <c r="C121" s="10" t="s">
        <v>205</v>
      </c>
      <c r="D121" s="76"/>
      <c r="E121" s="76"/>
      <c r="F121" s="76"/>
      <c r="G121" s="423">
        <v>0</v>
      </c>
      <c r="H121" s="76"/>
      <c r="I121" s="423">
        <v>0</v>
      </c>
      <c r="J121" s="422" t="s">
        <v>961</v>
      </c>
      <c r="K121" s="422" t="s">
        <v>961</v>
      </c>
    </row>
    <row r="122" spans="1:11">
      <c r="A122" s="100"/>
      <c r="B122" s="131" t="s">
        <v>347</v>
      </c>
      <c r="C122" s="130"/>
      <c r="D122" s="130"/>
      <c r="E122" s="130"/>
      <c r="F122" s="130"/>
      <c r="G122" s="130"/>
      <c r="H122" s="130"/>
      <c r="I122" s="130"/>
      <c r="J122" s="130"/>
      <c r="K122" s="130"/>
    </row>
    <row r="123" spans="1:11">
      <c r="A123" s="100">
        <v>11.22</v>
      </c>
      <c r="B123" s="76" t="s">
        <v>198</v>
      </c>
      <c r="C123" s="10" t="s">
        <v>207</v>
      </c>
      <c r="D123" s="76"/>
      <c r="E123" s="76"/>
      <c r="F123" s="76"/>
      <c r="G123" s="423">
        <v>0</v>
      </c>
      <c r="H123" s="76"/>
      <c r="I123" s="423">
        <v>0</v>
      </c>
      <c r="J123" s="422" t="s">
        <v>961</v>
      </c>
      <c r="K123" s="422" t="s">
        <v>961</v>
      </c>
    </row>
    <row r="124" spans="1:11">
      <c r="A124" s="100">
        <v>11.23</v>
      </c>
      <c r="B124" s="76" t="s">
        <v>200</v>
      </c>
      <c r="C124" s="10" t="s">
        <v>207</v>
      </c>
      <c r="D124" s="76"/>
      <c r="E124" s="76"/>
      <c r="F124" s="76"/>
      <c r="G124" s="423">
        <v>0</v>
      </c>
      <c r="H124" s="76"/>
      <c r="I124" s="423">
        <v>0</v>
      </c>
      <c r="J124" s="422" t="s">
        <v>961</v>
      </c>
      <c r="K124" s="422" t="s">
        <v>961</v>
      </c>
    </row>
    <row r="125" spans="1:11">
      <c r="A125" s="100">
        <v>11.24</v>
      </c>
      <c r="B125" s="76" t="s">
        <v>201</v>
      </c>
      <c r="C125" s="10" t="s">
        <v>207</v>
      </c>
      <c r="D125" s="76"/>
      <c r="E125" s="76"/>
      <c r="F125" s="76"/>
      <c r="G125" s="423">
        <v>0</v>
      </c>
      <c r="H125" s="76"/>
      <c r="I125" s="423">
        <v>0</v>
      </c>
      <c r="J125" s="422" t="s">
        <v>961</v>
      </c>
      <c r="K125" s="422" t="s">
        <v>961</v>
      </c>
    </row>
    <row r="126" spans="1:11">
      <c r="A126" s="100">
        <v>11.25</v>
      </c>
      <c r="B126" s="76" t="s">
        <v>202</v>
      </c>
      <c r="C126" s="10" t="s">
        <v>207</v>
      </c>
      <c r="D126" s="76"/>
      <c r="E126" s="76"/>
      <c r="F126" s="76"/>
      <c r="G126" s="423">
        <v>0</v>
      </c>
      <c r="H126" s="76"/>
      <c r="I126" s="423">
        <v>0</v>
      </c>
      <c r="J126" s="422" t="s">
        <v>961</v>
      </c>
      <c r="K126" s="422" t="s">
        <v>961</v>
      </c>
    </row>
    <row r="127" spans="1:11">
      <c r="A127" s="100">
        <v>11.26</v>
      </c>
      <c r="B127" s="76" t="s">
        <v>203</v>
      </c>
      <c r="C127" s="10" t="s">
        <v>207</v>
      </c>
      <c r="D127" s="76"/>
      <c r="E127" s="76"/>
      <c r="F127" s="76"/>
      <c r="G127" s="423">
        <v>0</v>
      </c>
      <c r="H127" s="76"/>
      <c r="I127" s="423">
        <v>0</v>
      </c>
      <c r="J127" s="422" t="s">
        <v>961</v>
      </c>
      <c r="K127" s="422" t="s">
        <v>961</v>
      </c>
    </row>
    <row r="130" spans="1:11">
      <c r="A130" s="5"/>
      <c r="B130" s="368" t="s">
        <v>38</v>
      </c>
      <c r="C130" s="7"/>
      <c r="D130" s="7"/>
      <c r="E130" s="7"/>
      <c r="F130" s="7"/>
      <c r="G130" s="7"/>
      <c r="H130" s="7"/>
      <c r="I130" s="7"/>
      <c r="J130" s="7"/>
      <c r="K130" s="7"/>
    </row>
    <row r="131" spans="1:11">
      <c r="A131" s="271"/>
      <c r="B131" s="14" t="s">
        <v>38</v>
      </c>
      <c r="C131" s="369"/>
      <c r="D131" s="370" t="s">
        <v>39</v>
      </c>
      <c r="E131" s="370" t="s">
        <v>39</v>
      </c>
      <c r="F131" s="370" t="s">
        <v>39</v>
      </c>
      <c r="G131" s="370" t="s">
        <v>39</v>
      </c>
      <c r="H131" s="370" t="s">
        <v>39</v>
      </c>
      <c r="I131" s="370" t="s">
        <v>39</v>
      </c>
      <c r="J131" s="370" t="s">
        <v>39</v>
      </c>
      <c r="K131" s="370" t="s">
        <v>39</v>
      </c>
    </row>
    <row r="133" spans="1:11">
      <c r="A133" s="80" t="s">
        <v>2</v>
      </c>
      <c r="B133" s="132" t="s">
        <v>348</v>
      </c>
      <c r="C133" s="133" t="s">
        <v>4</v>
      </c>
      <c r="D133" s="133" t="str">
        <f>'General Info'!D4</f>
        <v>FY 2008-2009</v>
      </c>
      <c r="E133" s="133" t="str">
        <f>'General Info'!E4</f>
        <v>FY 2009-2010</v>
      </c>
      <c r="F133" s="133" t="str">
        <f>'General Info'!F4</f>
        <v>FY 2010-2011</v>
      </c>
      <c r="G133" s="133" t="str">
        <f>'General Info'!G4</f>
        <v>FY 2011-2012</v>
      </c>
      <c r="H133" s="133" t="str">
        <f>'General Info'!H4</f>
        <v>FY 2012-2013</v>
      </c>
      <c r="I133" s="133" t="str">
        <f>'General Info'!I4</f>
        <v>FY 2013-2014</v>
      </c>
      <c r="J133" s="133" t="str">
        <f>'General Info'!J4</f>
        <v>FY 2014-2015</v>
      </c>
      <c r="K133" s="133" t="str">
        <f>'General Info'!K4</f>
        <v>FY 2015-2016</v>
      </c>
    </row>
    <row r="134" spans="1:11">
      <c r="A134" s="83">
        <v>1</v>
      </c>
      <c r="B134" s="84" t="s">
        <v>349</v>
      </c>
      <c r="C134" s="10" t="s">
        <v>16</v>
      </c>
      <c r="D134" s="134" t="e">
        <f t="shared" ref="D134:K134" si="21">D5</f>
        <v>#DIV/0!</v>
      </c>
      <c r="E134" s="134" t="e">
        <f t="shared" si="21"/>
        <v>#DIV/0!</v>
      </c>
      <c r="F134" s="134">
        <f t="shared" si="21"/>
        <v>69.989142236699237</v>
      </c>
      <c r="G134" s="134">
        <f t="shared" si="21"/>
        <v>86.858480333390418</v>
      </c>
      <c r="H134" s="134">
        <f t="shared" si="21"/>
        <v>91.997703788748566</v>
      </c>
      <c r="I134" s="134">
        <f t="shared" si="21"/>
        <v>92.057196534808469</v>
      </c>
      <c r="J134" s="134">
        <f t="shared" si="21"/>
        <v>93.689916138269581</v>
      </c>
      <c r="K134" s="134">
        <f t="shared" si="21"/>
        <v>96.066343754586825</v>
      </c>
    </row>
    <row r="135" spans="1:11">
      <c r="A135" s="83">
        <f>A134+1</f>
        <v>2</v>
      </c>
      <c r="B135" s="86" t="s">
        <v>350</v>
      </c>
      <c r="C135" s="10" t="s">
        <v>16</v>
      </c>
      <c r="D135" s="134" t="e">
        <f t="shared" ref="D135:K135" si="22">D11</f>
        <v>#DIV/0!</v>
      </c>
      <c r="E135" s="134" t="e">
        <f t="shared" si="22"/>
        <v>#DIV/0!</v>
      </c>
      <c r="F135" s="134">
        <f t="shared" si="22"/>
        <v>0</v>
      </c>
      <c r="G135" s="134">
        <f t="shared" si="22"/>
        <v>0</v>
      </c>
      <c r="H135" s="134">
        <f t="shared" si="22"/>
        <v>0</v>
      </c>
      <c r="I135" s="134">
        <f t="shared" si="22"/>
        <v>0</v>
      </c>
      <c r="J135" s="134" t="str">
        <f t="shared" si="22"/>
        <v>na</v>
      </c>
      <c r="K135" s="134" t="str">
        <f t="shared" si="22"/>
        <v>na</v>
      </c>
    </row>
    <row r="136" spans="1:11">
      <c r="A136" s="83">
        <f>A135+1</f>
        <v>3</v>
      </c>
      <c r="B136" s="84" t="s">
        <v>351</v>
      </c>
      <c r="C136" s="10" t="s">
        <v>16</v>
      </c>
      <c r="D136" s="134" t="e">
        <f t="shared" ref="D136:K136" si="23">D15</f>
        <v>#DIV/0!</v>
      </c>
      <c r="E136" s="134" t="e">
        <f t="shared" si="23"/>
        <v>#DIV/0!</v>
      </c>
      <c r="F136" s="134">
        <f t="shared" si="23"/>
        <v>0</v>
      </c>
      <c r="G136" s="134">
        <f t="shared" si="23"/>
        <v>0</v>
      </c>
      <c r="H136" s="134">
        <f t="shared" si="23"/>
        <v>0</v>
      </c>
      <c r="I136" s="134">
        <f t="shared" si="23"/>
        <v>0</v>
      </c>
      <c r="J136" s="134" t="str">
        <f t="shared" si="23"/>
        <v>na</v>
      </c>
      <c r="K136" s="134" t="str">
        <f t="shared" si="23"/>
        <v>na</v>
      </c>
    </row>
    <row r="137" spans="1:11">
      <c r="A137" s="83">
        <f>A136+1</f>
        <v>4</v>
      </c>
      <c r="B137" s="84" t="s">
        <v>352</v>
      </c>
      <c r="C137" s="10" t="s">
        <v>16</v>
      </c>
      <c r="D137" s="134" t="e">
        <f t="shared" ref="D137:K137" si="24">D40</f>
        <v>#DIV/0!</v>
      </c>
      <c r="E137" s="134" t="e">
        <f t="shared" si="24"/>
        <v>#DIV/0!</v>
      </c>
      <c r="F137" s="134">
        <f t="shared" si="24"/>
        <v>0</v>
      </c>
      <c r="G137" s="134">
        <f t="shared" si="24"/>
        <v>0</v>
      </c>
      <c r="H137" s="134">
        <f t="shared" si="24"/>
        <v>0</v>
      </c>
      <c r="I137" s="134">
        <f t="shared" si="24"/>
        <v>0</v>
      </c>
      <c r="J137" s="134" t="str">
        <f t="shared" si="24"/>
        <v>na</v>
      </c>
      <c r="K137" s="134" t="str">
        <f t="shared" si="24"/>
        <v>na</v>
      </c>
    </row>
    <row r="138" spans="1:11">
      <c r="A138" s="83">
        <v>5</v>
      </c>
      <c r="B138" s="84" t="s">
        <v>353</v>
      </c>
      <c r="C138" s="10" t="s">
        <v>16</v>
      </c>
      <c r="D138" s="134" t="e">
        <f t="shared" ref="D138:K138" si="25">D46</f>
        <v>#DIV/0!</v>
      </c>
      <c r="E138" s="134" t="e">
        <f t="shared" si="25"/>
        <v>#DIV/0!</v>
      </c>
      <c r="F138" s="134" t="e">
        <f t="shared" si="25"/>
        <v>#DIV/0!</v>
      </c>
      <c r="G138" s="134" t="e">
        <f t="shared" si="25"/>
        <v>#DIV/0!</v>
      </c>
      <c r="H138" s="134" t="e">
        <f t="shared" si="25"/>
        <v>#DIV/0!</v>
      </c>
      <c r="I138" s="134" t="e">
        <f t="shared" si="25"/>
        <v>#DIV/0!</v>
      </c>
      <c r="J138" s="134" t="str">
        <f t="shared" si="25"/>
        <v>na</v>
      </c>
      <c r="K138" s="134" t="str">
        <f t="shared" si="25"/>
        <v>na</v>
      </c>
    </row>
    <row r="139" spans="1:11">
      <c r="A139" s="83">
        <v>6</v>
      </c>
      <c r="B139" s="84" t="s">
        <v>354</v>
      </c>
      <c r="C139" s="10" t="s">
        <v>16</v>
      </c>
      <c r="D139" s="134" t="e">
        <f t="shared" ref="D139:K139" si="26">D50</f>
        <v>#DIV/0!</v>
      </c>
      <c r="E139" s="134" t="e">
        <f t="shared" si="26"/>
        <v>#DIV/0!</v>
      </c>
      <c r="F139" s="134" t="e">
        <f t="shared" si="26"/>
        <v>#DIV/0!</v>
      </c>
      <c r="G139" s="134" t="e">
        <f t="shared" si="26"/>
        <v>#DIV/0!</v>
      </c>
      <c r="H139" s="134" t="e">
        <f t="shared" si="26"/>
        <v>#DIV/0!</v>
      </c>
      <c r="I139" s="134" t="e">
        <f t="shared" si="26"/>
        <v>#DIV/0!</v>
      </c>
      <c r="J139" s="134" t="str">
        <f t="shared" si="26"/>
        <v>na</v>
      </c>
      <c r="K139" s="134" t="str">
        <f t="shared" si="26"/>
        <v>na</v>
      </c>
    </row>
    <row r="140" spans="1:11">
      <c r="A140" s="83">
        <v>7</v>
      </c>
      <c r="B140" s="84" t="s">
        <v>217</v>
      </c>
      <c r="C140" s="10" t="s">
        <v>16</v>
      </c>
      <c r="D140" s="134" t="e">
        <f t="shared" ref="D140:K140" si="27">D55</f>
        <v>#DIV/0!</v>
      </c>
      <c r="E140" s="134" t="e">
        <f t="shared" si="27"/>
        <v>#DIV/0!</v>
      </c>
      <c r="F140" s="134" t="e">
        <f t="shared" si="27"/>
        <v>#DIV/0!</v>
      </c>
      <c r="G140" s="134" t="e">
        <f t="shared" si="27"/>
        <v>#DIV/0!</v>
      </c>
      <c r="H140" s="134" t="e">
        <f t="shared" si="27"/>
        <v>#DIV/0!</v>
      </c>
      <c r="I140" s="134" t="e">
        <f t="shared" si="27"/>
        <v>#DIV/0!</v>
      </c>
      <c r="J140" s="134">
        <f t="shared" si="27"/>
        <v>82</v>
      </c>
      <c r="K140" s="134">
        <f t="shared" si="27"/>
        <v>85</v>
      </c>
    </row>
    <row r="141" spans="1:11">
      <c r="A141" s="83">
        <v>8</v>
      </c>
      <c r="B141" s="84" t="s">
        <v>355</v>
      </c>
      <c r="C141" s="10" t="s">
        <v>16</v>
      </c>
      <c r="D141" s="134" t="e">
        <f t="shared" ref="D141:K141" si="28">D60</f>
        <v>#DIV/0!</v>
      </c>
      <c r="E141" s="134" t="e">
        <f t="shared" si="28"/>
        <v>#DIV/0!</v>
      </c>
      <c r="F141" s="134" t="e">
        <f t="shared" si="28"/>
        <v>#DIV/0!</v>
      </c>
      <c r="G141" s="134" t="e">
        <f t="shared" si="28"/>
        <v>#DIV/0!</v>
      </c>
      <c r="H141" s="134" t="e">
        <f t="shared" si="28"/>
        <v>#DIV/0!</v>
      </c>
      <c r="I141" s="134" t="e">
        <f t="shared" si="28"/>
        <v>#DIV/0!</v>
      </c>
      <c r="J141" s="134">
        <f t="shared" si="28"/>
        <v>6.1789473684210527</v>
      </c>
      <c r="K141" s="134">
        <f t="shared" si="28"/>
        <v>7</v>
      </c>
    </row>
    <row r="142" spans="1:11">
      <c r="A142" s="83">
        <f>A141+1</f>
        <v>9</v>
      </c>
      <c r="B142" s="84" t="s">
        <v>356</v>
      </c>
      <c r="C142" s="10" t="s">
        <v>16</v>
      </c>
      <c r="D142" s="134" t="e">
        <f t="shared" ref="D142:K142" si="29">D77</f>
        <v>#DIV/0!</v>
      </c>
      <c r="E142" s="134" t="e">
        <f t="shared" si="29"/>
        <v>#DIV/0!</v>
      </c>
      <c r="F142" s="134" t="e">
        <f t="shared" si="29"/>
        <v>#DIV/0!</v>
      </c>
      <c r="G142" s="134" t="e">
        <f t="shared" si="29"/>
        <v>#DIV/0!</v>
      </c>
      <c r="H142" s="134" t="e">
        <f t="shared" si="29"/>
        <v>#DIV/0!</v>
      </c>
      <c r="I142" s="134" t="e">
        <f t="shared" si="29"/>
        <v>#DIV/0!</v>
      </c>
      <c r="J142" s="134">
        <f t="shared" si="29"/>
        <v>52.810902896081771</v>
      </c>
      <c r="K142" s="134">
        <f t="shared" si="29"/>
        <v>55.571428571428569</v>
      </c>
    </row>
    <row r="143" spans="1:11">
      <c r="A143" s="80" t="s">
        <v>2</v>
      </c>
      <c r="B143" s="135" t="s">
        <v>357</v>
      </c>
      <c r="C143" s="133" t="s">
        <v>4</v>
      </c>
      <c r="D143" s="133" t="str">
        <f>'General Info'!D4</f>
        <v>FY 2008-2009</v>
      </c>
      <c r="E143" s="133" t="str">
        <f>'General Info'!E4</f>
        <v>FY 2009-2010</v>
      </c>
      <c r="F143" s="133" t="str">
        <f>'General Info'!F4</f>
        <v>FY 2010-2011</v>
      </c>
      <c r="G143" s="133" t="str">
        <f>'General Info'!G4</f>
        <v>FY 2011-2012</v>
      </c>
      <c r="H143" s="133" t="str">
        <f>'General Info'!H4</f>
        <v>FY 2012-2013</v>
      </c>
      <c r="I143" s="133" t="str">
        <f>'General Info'!I4</f>
        <v>FY 2013-2014</v>
      </c>
      <c r="J143" s="133" t="str">
        <f>'General Info'!J4</f>
        <v>FY 2014-2015</v>
      </c>
      <c r="K143" s="133" t="str">
        <f>'General Info'!K4</f>
        <v>FY 2015-2016</v>
      </c>
    </row>
    <row r="144" spans="1:11">
      <c r="A144" s="83">
        <v>1</v>
      </c>
      <c r="B144" s="84" t="s">
        <v>358</v>
      </c>
      <c r="C144" s="10" t="s">
        <v>16</v>
      </c>
      <c r="D144" s="134" t="e">
        <f t="shared" ref="D144:K144" si="30">D84</f>
        <v>#DIV/0!</v>
      </c>
      <c r="E144" s="134" t="e">
        <f t="shared" si="30"/>
        <v>#DIV/0!</v>
      </c>
      <c r="F144" s="134">
        <f t="shared" si="30"/>
        <v>117.22846441947566</v>
      </c>
      <c r="G144" s="134">
        <f t="shared" si="30"/>
        <v>150</v>
      </c>
      <c r="H144" s="134">
        <f t="shared" si="30"/>
        <v>152.94117647058823</v>
      </c>
      <c r="I144" s="134">
        <f t="shared" si="30"/>
        <v>156.67808219178082</v>
      </c>
      <c r="J144" s="134">
        <f t="shared" si="30"/>
        <v>10.169491525423728</v>
      </c>
      <c r="K144" s="134">
        <f t="shared" si="30"/>
        <v>13.114754098360656</v>
      </c>
    </row>
    <row r="145" spans="1:11">
      <c r="A145" s="83">
        <v>2</v>
      </c>
      <c r="B145" s="86" t="s">
        <v>359</v>
      </c>
      <c r="C145" s="10" t="s">
        <v>19</v>
      </c>
      <c r="D145" s="134">
        <f t="shared" ref="D145:K145" si="31">D89</f>
        <v>0</v>
      </c>
      <c r="E145" s="134">
        <f t="shared" si="31"/>
        <v>0</v>
      </c>
      <c r="F145" s="134">
        <f t="shared" si="31"/>
        <v>0</v>
      </c>
      <c r="G145" s="134">
        <f t="shared" si="31"/>
        <v>5</v>
      </c>
      <c r="H145" s="134">
        <f t="shared" si="31"/>
        <v>4</v>
      </c>
      <c r="I145" s="134">
        <f t="shared" si="31"/>
        <v>3</v>
      </c>
      <c r="J145" s="134">
        <f t="shared" si="31"/>
        <v>3</v>
      </c>
      <c r="K145" s="134">
        <f t="shared" si="31"/>
        <v>3</v>
      </c>
    </row>
    <row r="147" spans="1:11">
      <c r="A147" s="80" t="s">
        <v>2</v>
      </c>
      <c r="B147" s="136" t="s">
        <v>360</v>
      </c>
      <c r="C147" s="137"/>
      <c r="D147" s="133" t="str">
        <f>'General Info'!D4</f>
        <v>FY 2008-2009</v>
      </c>
      <c r="E147" s="133" t="str">
        <f>'General Info'!E4</f>
        <v>FY 2009-2010</v>
      </c>
      <c r="F147" s="133" t="str">
        <f>'General Info'!F4</f>
        <v>FY 2010-2011</v>
      </c>
      <c r="G147" s="133" t="str">
        <f>'General Info'!G4</f>
        <v>FY 2011-2012</v>
      </c>
      <c r="H147" s="133" t="str">
        <f>'General Info'!H4</f>
        <v>FY 2012-2013</v>
      </c>
      <c r="I147" s="133" t="str">
        <f>'General Info'!I4</f>
        <v>FY 2013-2014</v>
      </c>
      <c r="J147" s="133" t="str">
        <f>'General Info'!J4</f>
        <v>FY 2014-2015</v>
      </c>
      <c r="K147" s="133" t="str">
        <f>'General Info'!K4</f>
        <v>FY 2015-2016</v>
      </c>
    </row>
    <row r="148" spans="1:11">
      <c r="A148" s="138" t="s">
        <v>361</v>
      </c>
      <c r="B148" s="139" t="s">
        <v>222</v>
      </c>
      <c r="C148" s="92"/>
      <c r="D148" s="140"/>
      <c r="E148" s="141"/>
      <c r="F148" s="141"/>
      <c r="G148" s="141"/>
      <c r="H148" s="141"/>
      <c r="I148" s="141"/>
      <c r="J148" s="141"/>
      <c r="K148" s="141"/>
    </row>
    <row r="149" spans="1:11">
      <c r="A149" s="83">
        <v>1</v>
      </c>
      <c r="B149" s="91" t="s">
        <v>349</v>
      </c>
      <c r="C149" s="92"/>
      <c r="D149" s="141"/>
      <c r="E149" s="142" t="str">
        <f>IF(AND(Reliability!D33="Y",Reliability!D14="Y",OR(Reliability!D33="Y",Reliability!D34="Y")),"A",IF(AND(sewerage!E10&gt;0,Reliability!D33="N",Reliability!D34="N"),"C","D"))</f>
        <v>D</v>
      </c>
      <c r="F149" s="142" t="str">
        <f>IF(AND(Reliability!E33="Y",Reliability!E14="Y",OR(Reliability!E33="Y",Reliability!E34="Y")),"A",IF(AND(sewerage!E10&gt;0,Reliability!E33="N",Reliability!E34="N"),"C","D"))</f>
        <v>D</v>
      </c>
      <c r="G149" s="142" t="str">
        <f>IF(AND(Reliability!F33="Y",Reliability!F14="Y",OR(Reliability!F33="Y",Reliability!F34="Y")),"A",IF(AND(sewerage!F10&gt;0,Reliability!F33="N",Reliability!F34="N"),"C","D"))</f>
        <v>D</v>
      </c>
      <c r="H149" s="142" t="str">
        <f>IF(AND(Reliability!G33="Y",Reliability!G14="Y",OR(Reliability!G33="Y",Reliability!G34="Y")),"A",IF(AND(sewerage!H10&gt;0,Reliability!G33="N",Reliability!G34="N"),"C","D"))</f>
        <v>D</v>
      </c>
      <c r="I149" s="142" t="str">
        <f>IF(AND(Reliability!H33="Y",Reliability!H14="Y",OR(Reliability!H33="Y",Reliability!H34="Y")),"A",IF(AND(sewerage!I10&gt;0,Reliability!H33="N",Reliability!H34="N"),"C","D"))</f>
        <v>D</v>
      </c>
      <c r="J149" s="142" t="str">
        <f>IF(AND(Reliability!I33="Y",Reliability!I14="Y",OR(Reliability!I33="Y",Reliability!I34="Y")),"A",IF(AND(sewerage!I10&gt;0,Reliability!I33="N",Reliability!I34="N"),"C","D"))</f>
        <v>D</v>
      </c>
      <c r="K149" s="142" t="str">
        <f>IF(AND(Reliability!J33="Y",Reliability!J14="Y",OR(Reliability!J33="Y",Reliability!J34="Y")),"A",IF(AND(sewerage!J10&gt;0,Reliability!J33="N",Reliability!J34="N"),"C","D"))</f>
        <v>D</v>
      </c>
    </row>
    <row r="150" spans="1:11">
      <c r="A150" s="83">
        <f t="shared" ref="A150:A157" si="32">A149+1</f>
        <v>2</v>
      </c>
      <c r="B150" s="91" t="s">
        <v>350</v>
      </c>
      <c r="C150" s="92"/>
      <c r="D150" s="141"/>
      <c r="E150" s="142" t="str">
        <f>IF(AND(Reliability!D17="Y",OR(Reliability!D35="Y",Reliability!D36="Y")),"A",IF(Reliability!D19="Y","B",IF(Reliability!D22="Y","C","D")))</f>
        <v>D</v>
      </c>
      <c r="F150" s="142" t="str">
        <f>IF(AND(Reliability!E17="Y",OR(Reliability!E35="Y",Reliability!E36="Y")),"A",IF(Reliability!E19="Y","B",IF(Reliability!E22="Y","C","D")))</f>
        <v>D</v>
      </c>
      <c r="G150" s="142" t="str">
        <f>IF(AND(Reliability!F17="Y",OR(Reliability!F35="Y",Reliability!F36="Y")),"A",IF(Reliability!F19="Y","B",IF(Reliability!F22="Y","C","D")))</f>
        <v>D</v>
      </c>
      <c r="H150" s="142" t="str">
        <f>IF(AND(Reliability!G17="Y",OR(Reliability!G35="Y",Reliability!G36="Y")),"A",IF(Reliability!G19="Y","B",IF(Reliability!G22="Y","C","D")))</f>
        <v>D</v>
      </c>
      <c r="I150" s="142" t="str">
        <f>IF(AND(Reliability!H17="Y",OR(Reliability!H35="Y",Reliability!H36="Y")),"A",IF(Reliability!H19="Y","B",IF(Reliability!H22="Y","C","D")))</f>
        <v>D</v>
      </c>
      <c r="J150" s="142" t="str">
        <f>IF(AND(Reliability!I17="Y",OR(Reliability!I35="Y",Reliability!I36="Y")),"A",IF(Reliability!I19="Y","B",IF(Reliability!I22="Y","C","D")))</f>
        <v>D</v>
      </c>
      <c r="K150" s="142" t="str">
        <f>IF(AND(Reliability!J17="Y",OR(Reliability!J35="Y",Reliability!J36="Y")),"A",IF(Reliability!J19="Y","B",IF(Reliability!J22="Y","C","D")))</f>
        <v>D</v>
      </c>
    </row>
    <row r="151" spans="1:11">
      <c r="A151" s="83">
        <f t="shared" si="32"/>
        <v>3</v>
      </c>
      <c r="B151" s="91" t="s">
        <v>351</v>
      </c>
      <c r="C151" s="92"/>
      <c r="D151" s="141"/>
      <c r="E151" s="142" t="str">
        <f>IF(AND(water!E181="A",sewerage!E24&gt;0,Reliability!D106="Y"),"A",IF(AND(water!E181="B",Reliability!D107="Y"),"B",IF(AND(water!E181="C",Reliability!D108="Y"),"C","D")))</f>
        <v>D</v>
      </c>
      <c r="F151" s="142" t="str">
        <f>IF(AND(water!F181="A",sewerage!F24&gt;0,Reliability!E106="Y"),"A",IF(AND(water!F181="B",Reliability!E107="Y"),"B",IF(AND(water!F181="C",Reliability!E108="Y"),"C","D")))</f>
        <v>D</v>
      </c>
      <c r="G151" s="142" t="str">
        <f>IF(AND(water!G181="A",sewerage!G24&gt;0,Reliability!F106="Y"),"A",IF(AND(water!G181="B",Reliability!F107="Y"),"B",IF(AND(water!G181="C",Reliability!F108="Y"),"C","D")))</f>
        <v>D</v>
      </c>
      <c r="H151" s="142" t="str">
        <f>IF(AND(water!H181="A",sewerage!H24&gt;0,Reliability!G106="Y"),"A",IF(AND(water!H181="B",Reliability!G107="Y"),"B",IF(AND(water!H181="C",Reliability!G108="Y"),"C","D")))</f>
        <v>D</v>
      </c>
      <c r="I151" s="142" t="str">
        <f>IF(AND(water!I181="A",sewerage!I24&gt;0,Reliability!H106="Y"),"A",IF(AND(water!I181="B",Reliability!H107="Y"),"B",IF(AND(water!I181="C",Reliability!H108="Y"),"C","D")))</f>
        <v>D</v>
      </c>
      <c r="J151" s="142" t="str">
        <f>IF(AND(water!J181="A",sewerage!J24&gt;0,Reliability!I106="Y"),"A",IF(AND(water!J181="B",Reliability!I107="Y"),"B",IF(AND(water!J181="C",Reliability!I108="Y"),"C","D")))</f>
        <v>D</v>
      </c>
      <c r="K151" s="142" t="str">
        <f>IF(AND(water!K181="A",sewerage!K24&gt;0,Reliability!J106="Y"),"A",IF(AND(water!K181="B",Reliability!J107="Y"),"B",IF(AND(water!K181="C",Reliability!J108="Y"),"C","D")))</f>
        <v>D</v>
      </c>
    </row>
    <row r="152" spans="1:11">
      <c r="A152" s="83">
        <f t="shared" si="32"/>
        <v>4</v>
      </c>
      <c r="B152" s="91" t="s">
        <v>352</v>
      </c>
      <c r="C152" s="92"/>
      <c r="D152" s="141"/>
      <c r="E152" s="142" t="str">
        <f>IF(AND(water!E181="A",sewerage!E24&gt;0,Reliability!D106="Y",E37&gt;0),"A",IF(AND(water!E181="B",Reliability!D107="Y",E37&gt;0),"B",IF(AND(water!E181="C",Reliability!D108="Y"),"C","D")))</f>
        <v>D</v>
      </c>
      <c r="F152" s="142" t="str">
        <f>IF(AND(water!F181="A",sewerage!F24&gt;0,Reliability!E106="Y",F37&gt;0),"A",IF(AND(water!F181="B",Reliability!E107="Y",F37&gt;0),"B",IF(AND(water!F181="C",Reliability!E108="Y"),"C","D")))</f>
        <v>D</v>
      </c>
      <c r="G152" s="142" t="str">
        <f>IF(AND(water!G181="A",sewerage!G24&gt;0,Reliability!F106="Y",G37&gt;0),"A",IF(AND(water!G181="B",Reliability!F107="Y",G37&gt;0),"B",IF(AND(water!G181="C",Reliability!F108="Y"),"C","D")))</f>
        <v>D</v>
      </c>
      <c r="H152" s="142" t="str">
        <f>IF(AND(water!H181="A",sewerage!H24&gt;0,Reliability!G106="Y",H37&gt;0),"A",IF(AND(water!H181="B",Reliability!G107="Y",H37&gt;0),"B",IF(AND(water!H181="C",Reliability!G108="Y"),"C","D")))</f>
        <v>D</v>
      </c>
      <c r="I152" s="142" t="str">
        <f>IF(AND(water!I181="A",sewerage!I24&gt;0,Reliability!H106="Y",I37&gt;0),"A",IF(AND(water!I181="B",Reliability!H107="Y",I37&gt;0),"B",IF(AND(water!I181="C",Reliability!H108="Y"),"C","D")))</f>
        <v>D</v>
      </c>
      <c r="J152" s="142" t="str">
        <f>IF(AND(water!J181="A",sewerage!J24&gt;0,Reliability!I106="Y",J37&gt;0),"A",IF(AND(water!J181="B",Reliability!I107="Y",J37&gt;0),"B",IF(AND(water!J181="C",Reliability!I108="Y"),"C","D")))</f>
        <v>D</v>
      </c>
      <c r="K152" s="142" t="str">
        <f>IF(AND(water!K181="A",sewerage!K24&gt;0,Reliability!J106="Y",K37&gt;0),"A",IF(AND(water!K181="B",Reliability!J107="Y",K37&gt;0),"B",IF(AND(water!K181="C",Reliability!J108="Y"),"C","D")))</f>
        <v>D</v>
      </c>
    </row>
    <row r="153" spans="1:11">
      <c r="A153" s="83">
        <f t="shared" si="32"/>
        <v>5</v>
      </c>
      <c r="B153" s="91" t="s">
        <v>353</v>
      </c>
      <c r="C153" s="92"/>
      <c r="D153" s="141"/>
      <c r="E153" s="142" t="str">
        <f>IF(AND(Reliability!D106="Y",Reliability!D109="Y"),"A","D")</f>
        <v>D</v>
      </c>
      <c r="F153" s="142" t="str">
        <f>IF(AND(Reliability!E106="Y",Reliability!E109="Y"),"A","D")</f>
        <v>D</v>
      </c>
      <c r="G153" s="142" t="str">
        <f>IF(AND(Reliability!F106="Y",Reliability!F109="Y"),"A","D")</f>
        <v>D</v>
      </c>
      <c r="H153" s="142" t="str">
        <f>IF(AND(Reliability!G106="Y",Reliability!G109="Y"),"A","D")</f>
        <v>D</v>
      </c>
      <c r="I153" s="142" t="str">
        <f>IF(AND(Reliability!H106="Y",Reliability!H109="Y"),"A","D")</f>
        <v>D</v>
      </c>
      <c r="J153" s="142" t="str">
        <f>IF(AND(Reliability!I106="Y",Reliability!I109="Y"),"A","D")</f>
        <v>D</v>
      </c>
      <c r="K153" s="142" t="str">
        <f>IF(AND(Reliability!J106="Y",Reliability!J109="Y"),"A","D")</f>
        <v>D</v>
      </c>
    </row>
    <row r="154" spans="1:11">
      <c r="A154" s="83">
        <f t="shared" si="32"/>
        <v>6</v>
      </c>
      <c r="B154" s="91" t="s">
        <v>354</v>
      </c>
      <c r="C154" s="92"/>
      <c r="D154" s="141"/>
      <c r="E154" s="142" t="str">
        <f>IF(AND(Reliability!D124="Y",Reliability!D127="Y",OR(Reliability!D129="Y",Reliability!D130="Y"),OR(Reliability!D125="Y",Reliability!D126="Y")),"A",IF(AND(OR(Reliability!D129="Y",Reliability!D130="Y"),OR(Reliability!D125="Y",Reliability!D126="Y")),"B","D"))</f>
        <v>D</v>
      </c>
      <c r="F154" s="142" t="str">
        <f>IF(AND(Reliability!E124="Y",Reliability!E127="Y",OR(Reliability!E129="Y",Reliability!E130="Y"),OR(Reliability!E125="Y",Reliability!E126="Y")),"A",IF(AND(OR(Reliability!E129="Y",Reliability!E130="Y"),OR(Reliability!E125="Y",Reliability!E126="Y")),"B","D"))</f>
        <v>D</v>
      </c>
      <c r="G154" s="142" t="str">
        <f>IF(AND(Reliability!F124="Y",Reliability!F127="Y",OR(Reliability!F129="Y",Reliability!F130="Y"),OR(Reliability!F125="Y",Reliability!F126="Y")),"A",IF(AND(OR(Reliability!F129="Y",Reliability!F130="Y"),OR(Reliability!F125="Y",Reliability!F126="Y")),"B","D"))</f>
        <v>D</v>
      </c>
      <c r="H154" s="142" t="str">
        <f>IF(AND(Reliability!G124="Y",Reliability!G127="Y",OR(Reliability!G129="Y",Reliability!G130="Y"),OR(Reliability!G125="Y",Reliability!G126="Y")),"A",IF(AND(OR(Reliability!G129="Y",Reliability!G130="Y"),OR(Reliability!G125="Y",Reliability!G126="Y")),"B","D"))</f>
        <v>D</v>
      </c>
      <c r="I154" s="142" t="str">
        <f>IF(AND(Reliability!H124="Y",Reliability!H127="Y",OR(Reliability!H129="Y",Reliability!H130="Y"),OR(Reliability!H125="Y",Reliability!H126="Y")),"A",IF(AND(OR(Reliability!H129="Y",Reliability!H130="Y"),OR(Reliability!H125="Y",Reliability!H126="Y")),"B","D"))</f>
        <v>D</v>
      </c>
      <c r="J154" s="142" t="str">
        <f>IF(AND(Reliability!I124="Y",Reliability!I127="Y",OR(Reliability!I129="Y",Reliability!I130="Y"),OR(Reliability!I125="Y",Reliability!I126="Y")),"A",IF(AND(OR(Reliability!I129="Y",Reliability!I130="Y"),OR(Reliability!I125="Y",Reliability!I126="Y")),"B","D"))</f>
        <v>D</v>
      </c>
      <c r="K154" s="142" t="str">
        <f>IF(AND(Reliability!J124="Y",Reliability!J127="Y",OR(Reliability!J129="Y",Reliability!J130="Y"),OR(Reliability!J125="Y",Reliability!J126="Y")),"A",IF(AND(OR(Reliability!J129="Y",Reliability!J130="Y"),OR(Reliability!J125="Y",Reliability!J126="Y")),"B","D"))</f>
        <v>D</v>
      </c>
    </row>
    <row r="155" spans="1:11">
      <c r="A155" s="83">
        <f t="shared" si="32"/>
        <v>7</v>
      </c>
      <c r="B155" s="91" t="s">
        <v>217</v>
      </c>
      <c r="C155" s="92"/>
      <c r="D155" s="141"/>
      <c r="E155" s="142" t="str">
        <f>IF(AND(Reliability!D181="Y",OR(Reliability!D186="Y",Reliability!D187="Y"),Reliability!D192="Y",Reliability!D196="Y"),"A",IF(AND(Reliability!D181="Y",Reliability!D196="Y"),"B",IF(Reliability!D181="Y","C","D")))</f>
        <v>D</v>
      </c>
      <c r="F155" s="142" t="str">
        <f>IF(AND(Reliability!E181="Y",OR(Reliability!E186="Y",Reliability!E187="Y"),Reliability!E192="Y",Reliability!E196="Y"),"A",IF(AND(Reliability!E181="Y",Reliability!E196="Y"),"B",IF(Reliability!E181="Y","C","D")))</f>
        <v>D</v>
      </c>
      <c r="G155" s="142" t="str">
        <f>IF(AND(Reliability!F181="Y",OR(Reliability!F186="Y",Reliability!F187="Y"),Reliability!F192="Y",Reliability!F196="Y"),"A",IF(AND(Reliability!F181="Y",Reliability!F196="Y"),"B",IF(Reliability!F181="Y","C","D")))</f>
        <v>D</v>
      </c>
      <c r="H155" s="142" t="str">
        <f>IF(AND(Reliability!G181="Y",OR(Reliability!G186="Y",Reliability!G187="Y"),Reliability!G192="Y",Reliability!G196="Y"),"A",IF(AND(Reliability!G181="Y",Reliability!G196="Y"),"B",IF(Reliability!G181="Y","C","D")))</f>
        <v>D</v>
      </c>
      <c r="I155" s="142" t="str">
        <f>IF(AND(Reliability!H181="Y",OR(Reliability!H186="Y",Reliability!H187="Y"),Reliability!H192="Y",Reliability!H196="Y"),"A",IF(AND(Reliability!H181="Y",Reliability!H196="Y"),"B",IF(Reliability!H181="Y","C","D")))</f>
        <v>D</v>
      </c>
      <c r="J155" s="142" t="str">
        <f>IF(AND(Reliability!I181="Y",OR(Reliability!I186="Y",Reliability!I187="Y"),Reliability!I192="Y",Reliability!I196="Y"),"A",IF(AND(Reliability!I181="Y",Reliability!I196="Y"),"B",IF(Reliability!I181="Y","C","D")))</f>
        <v>D</v>
      </c>
      <c r="K155" s="142" t="str">
        <f>IF(AND(Reliability!J181="Y",OR(Reliability!J186="Y",Reliability!J187="Y"),Reliability!J192="Y",Reliability!J196="Y"),"A",IF(AND(Reliability!J181="Y",Reliability!J196="Y"),"B",IF(Reliability!J181="Y","C","D")))</f>
        <v>D</v>
      </c>
    </row>
    <row r="156" spans="1:11">
      <c r="A156" s="83">
        <f t="shared" si="32"/>
        <v>8</v>
      </c>
      <c r="B156" s="91" t="s">
        <v>355</v>
      </c>
      <c r="C156" s="92"/>
      <c r="D156" s="141"/>
      <c r="E156" s="142" t="str">
        <f>IF(AND(Reliability!D157="Y",Reliability!D162="Y",Reliability!D166="Y",Reliability!D176="Y"),"A",IF(AND(Reliability!D157="Y",Reliability!D162="Y",Reliability!D166="Y",sewerage!E64=0),"B","D"))</f>
        <v>D</v>
      </c>
      <c r="F156" s="142" t="str">
        <f>IF(AND(Reliability!E157="Y",Reliability!E162="Y",Reliability!E166="Y",Reliability!E176="Y"),"A",IF(AND(Reliability!E157="Y",Reliability!E162="Y",Reliability!E166="Y",sewerage!F64=0),"B","D"))</f>
        <v>D</v>
      </c>
      <c r="G156" s="142" t="str">
        <f>IF(AND(Reliability!F157="Y",Reliability!F162="Y",Reliability!F166="Y",Reliability!F176="Y"),"A",IF(AND(Reliability!F157="Y",Reliability!F162="Y",Reliability!F166="Y",sewerage!G64=0),"B","D"))</f>
        <v>D</v>
      </c>
      <c r="H156" s="142" t="str">
        <f>IF(AND(Reliability!G157="Y",Reliability!G162="Y",Reliability!G166="Y",Reliability!G176="Y"),"A",IF(AND(Reliability!G157="Y",Reliability!G162="Y",Reliability!G166="Y",sewerage!H64=0),"B","D"))</f>
        <v>D</v>
      </c>
      <c r="I156" s="142" t="str">
        <f>IF(AND(Reliability!H157="Y",Reliability!H162="Y",Reliability!H166="Y",Reliability!H176="Y"),"A",IF(AND(Reliability!H157="Y",Reliability!H162="Y",Reliability!H166="Y",sewerage!I64=0),"B","D"))</f>
        <v>D</v>
      </c>
      <c r="J156" s="142" t="str">
        <f>IF(AND(Reliability!I157="Y",Reliability!I162="Y",Reliability!I166="Y",Reliability!I176="Y"),"A",IF(AND(Reliability!I157="Y",Reliability!I162="Y",Reliability!I166="Y",sewerage!J64=0),"B","D"))</f>
        <v>D</v>
      </c>
      <c r="K156" s="142" t="str">
        <f>IF(AND(Reliability!J157="Y",Reliability!J162="Y",Reliability!J166="Y",Reliability!J176="Y"),"A",IF(AND(Reliability!J157="Y",Reliability!J162="Y",Reliability!J166="Y",sewerage!K64=0),"B","D"))</f>
        <v>D</v>
      </c>
    </row>
    <row r="157" spans="1:11">
      <c r="A157" s="83">
        <f t="shared" si="32"/>
        <v>9</v>
      </c>
      <c r="B157" s="91" t="s">
        <v>356</v>
      </c>
      <c r="C157" s="92"/>
      <c r="D157" s="141"/>
      <c r="E157" s="142" t="str">
        <f>IF(AND(Reliability!D158="Y",Reliability!D166="Y",Reliability!D170="Y"),"A",IF(AND(Reliability!D158="Y",Reliability!D166="Y"),"B","D"))</f>
        <v>D</v>
      </c>
      <c r="F157" s="142" t="str">
        <f>IF(AND(Reliability!E158="Y",Reliability!E166="Y",Reliability!E170="Y"),"A",IF(AND(Reliability!E158="Y",Reliability!E166="Y"),"B","D"))</f>
        <v>D</v>
      </c>
      <c r="G157" s="142" t="str">
        <f>IF(AND(Reliability!F158="Y",Reliability!F166="Y",Reliability!F170="Y"),"A",IF(AND(Reliability!F158="Y",Reliability!F166="Y"),"B","D"))</f>
        <v>D</v>
      </c>
      <c r="H157" s="142" t="str">
        <f>IF(AND(Reliability!G158="Y",Reliability!G166="Y",Reliability!G170="Y"),"A",IF(AND(Reliability!G158="Y",Reliability!G166="Y"),"B","D"))</f>
        <v>D</v>
      </c>
      <c r="I157" s="142" t="str">
        <f>IF(AND(Reliability!H158="Y",Reliability!H166="Y",Reliability!H170="Y"),"A",IF(AND(Reliability!H158="Y",Reliability!H166="Y"),"B","D"))</f>
        <v>D</v>
      </c>
      <c r="J157" s="142" t="str">
        <f>IF(AND(Reliability!I158="Y",Reliability!I166="Y",Reliability!I170="Y"),"A",IF(AND(Reliability!I158="Y",Reliability!I166="Y"),"B","D"))</f>
        <v>D</v>
      </c>
      <c r="K157" s="142" t="str">
        <f>IF(AND(Reliability!J158="Y",Reliability!J166="Y",Reliability!J170="Y"),"A",IF(AND(Reliability!J158="Y",Reliability!J166="Y"),"B","D"))</f>
        <v>D</v>
      </c>
    </row>
    <row r="158" spans="1:11">
      <c r="A158" s="80" t="s">
        <v>2</v>
      </c>
      <c r="B158" s="135" t="s">
        <v>357</v>
      </c>
      <c r="C158" s="143"/>
      <c r="D158" s="133" t="str">
        <f>'General Info'!D4</f>
        <v>FY 2008-2009</v>
      </c>
      <c r="E158" s="133" t="str">
        <f>'General Info'!E4</f>
        <v>FY 2009-2010</v>
      </c>
      <c r="F158" s="133" t="str">
        <f>'General Info'!F4</f>
        <v>FY 2010-2011</v>
      </c>
      <c r="G158" s="133" t="str">
        <f>'General Info'!G4</f>
        <v>FY 2011-2012</v>
      </c>
      <c r="H158" s="133" t="str">
        <f>'General Info'!H4</f>
        <v>FY 2012-2013</v>
      </c>
      <c r="I158" s="133" t="str">
        <f>'General Info'!I4</f>
        <v>FY 2013-2014</v>
      </c>
      <c r="J158" s="133" t="str">
        <f>'General Info'!J4</f>
        <v>FY 2014-2015</v>
      </c>
      <c r="K158" s="133" t="str">
        <f>'General Info'!K4</f>
        <v>FY 2015-2016</v>
      </c>
    </row>
    <row r="159" spans="1:11">
      <c r="A159" s="138" t="s">
        <v>361</v>
      </c>
      <c r="B159" s="139" t="s">
        <v>222</v>
      </c>
      <c r="C159" s="92"/>
      <c r="D159" s="140"/>
      <c r="E159" s="141"/>
      <c r="F159" s="141"/>
      <c r="G159" s="141"/>
      <c r="H159" s="141"/>
      <c r="I159" s="141"/>
      <c r="J159" s="141"/>
      <c r="K159" s="141"/>
    </row>
    <row r="160" spans="1:11">
      <c r="A160" s="83">
        <v>1</v>
      </c>
      <c r="B160" s="91" t="s">
        <v>362</v>
      </c>
      <c r="C160" s="92"/>
      <c r="D160" s="141"/>
      <c r="E160" s="142" t="str">
        <f>IF(AND(Reliability!D47="Y",sewerage!E87&gt;0),"A",IF(Reliability!D48="Y","B","C"))</f>
        <v>C</v>
      </c>
      <c r="F160" s="142" t="str">
        <f>IF(AND(Reliability!E47="Y",sewerage!F87&gt;0),"A",IF(Reliability!E48="Y","B","C"))</f>
        <v>C</v>
      </c>
      <c r="G160" s="142" t="str">
        <f>IF(AND(Reliability!F47="Y",sewerage!G87&gt;0),"A",IF(Reliability!F48="Y","B","C"))</f>
        <v>C</v>
      </c>
      <c r="H160" s="142" t="str">
        <f>IF(AND(Reliability!G47="Y",sewerage!H87&gt;0),"A",IF(Reliability!G48="Y","B","C"))</f>
        <v>C</v>
      </c>
      <c r="I160" s="142" t="str">
        <f>IF(AND(Reliability!H47="Y",sewerage!I87&gt;0),"A",IF(Reliability!H48="Y","B","C"))</f>
        <v>C</v>
      </c>
      <c r="J160" s="142" t="str">
        <f>IF(AND(Reliability!I47="Y",sewerage!J87&gt;0),"A",IF(Reliability!I48="Y","B","C"))</f>
        <v>A</v>
      </c>
      <c r="K160" s="142" t="str">
        <f>IF(AND(Reliability!J47="Y",sewerage!K87&gt;0),"A",IF(Reliability!J48="Y","B","C"))</f>
        <v>A</v>
      </c>
    </row>
    <row r="161" spans="1:11">
      <c r="A161" s="83">
        <v>2</v>
      </c>
      <c r="B161" s="91" t="s">
        <v>359</v>
      </c>
      <c r="C161" s="92"/>
      <c r="D161" s="141"/>
      <c r="E161" s="142" t="str">
        <f>IF(Reliability!D49="Y","A","B")</f>
        <v>B</v>
      </c>
      <c r="F161" s="142" t="str">
        <f>IF(Reliability!E49="Y","A","B")</f>
        <v>B</v>
      </c>
      <c r="G161" s="142" t="str">
        <f>IF(Reliability!F49="Y","A","B")</f>
        <v>B</v>
      </c>
      <c r="H161" s="142" t="str">
        <f>IF(Reliability!G49="Y","A","B")</f>
        <v>B</v>
      </c>
      <c r="I161" s="142" t="str">
        <f>IF(Reliability!H49="Y","A","B")</f>
        <v>B</v>
      </c>
      <c r="J161" s="142" t="str">
        <f>IF(Reliability!I49="Y","A","B")</f>
        <v>A</v>
      </c>
      <c r="K161" s="142" t="str">
        <f>IF(Reliability!J49="Y","A","B")</f>
        <v>A</v>
      </c>
    </row>
    <row r="163" spans="1:11">
      <c r="A163" s="80" t="s">
        <v>2</v>
      </c>
      <c r="B163" s="81" t="s">
        <v>223</v>
      </c>
      <c r="C163" s="82" t="s">
        <v>4</v>
      </c>
      <c r="D163" s="133" t="str">
        <f>'General Info'!D4</f>
        <v>FY 2008-2009</v>
      </c>
      <c r="E163" s="133" t="str">
        <f>'General Info'!E4</f>
        <v>FY 2009-2010</v>
      </c>
      <c r="F163" s="133" t="str">
        <f>'General Info'!F4</f>
        <v>FY 2010-2011</v>
      </c>
      <c r="G163" s="133" t="str">
        <f>'General Info'!G4</f>
        <v>FY 2011-2012</v>
      </c>
      <c r="H163" s="133" t="str">
        <f>'General Info'!H4</f>
        <v>FY 2012-2013</v>
      </c>
      <c r="I163" s="133" t="str">
        <f>'General Info'!I4</f>
        <v>FY 2013-2014</v>
      </c>
      <c r="J163" s="133" t="str">
        <f>'General Info'!J4</f>
        <v>FY 2014-2015</v>
      </c>
      <c r="K163" s="133" t="str">
        <f>'General Info'!K4</f>
        <v>FY 2015-2016</v>
      </c>
    </row>
    <row r="164" spans="1:11">
      <c r="A164" s="83">
        <v>1</v>
      </c>
      <c r="B164" s="84" t="s">
        <v>363</v>
      </c>
      <c r="C164" s="83" t="s">
        <v>16</v>
      </c>
      <c r="D164" s="93" t="e">
        <f>IF(OR('Equity Related Information'!D110="nd",D9="nd",'General Info'!D10="nd"),"nd",IF(D9="na",'Equity Related Information'!D110/'General Info'!D10*100,SUM('Equity Related Information'!D110,D9)/'General Info'!D10*100))</f>
        <v>#DIV/0!</v>
      </c>
      <c r="E164" s="93" t="e">
        <f>IF(OR('Equity Related Information'!E110="nd",E9="nd",'General Info'!E10="nd"),"nd",IF(E9="na",'Equity Related Information'!E110/'General Info'!E10*100,SUM('Equity Related Information'!E110,E9)/'General Info'!E10*100))</f>
        <v>#DIV/0!</v>
      </c>
      <c r="F164" s="93">
        <f>IF(OR('Equity Related Information'!F110="nd",F9="nd",'General Info'!F10="nd"),"nd",IF(F9="na",'Equity Related Information'!F110/'General Info'!F10*100,SUM('Equity Related Information'!F110,F9)/'General Info'!F10*100))</f>
        <v>5.561605476042315</v>
      </c>
      <c r="G164" s="93">
        <f>IF(OR('Equity Related Information'!G110="nd",G9="nd",'General Info'!G10="nd"),"nd",IF(G9="na",'Equity Related Information'!G110/'General Info'!G10*100,SUM('Equity Related Information'!G110,G9)/'General Info'!G10*100))</f>
        <v>23.776902437632014</v>
      </c>
      <c r="H164" s="93">
        <f>IF(OR('Equity Related Information'!H110="nd",H9="nd",'General Info'!H10="nd"),"nd",IF(H9="na",'Equity Related Information'!H110/'General Info'!H10*100,SUM('Equity Related Information'!H110,H9)/'General Info'!H10*100))</f>
        <v>2.9828166923559971</v>
      </c>
      <c r="I164" s="93">
        <f>IF(OR('Equity Related Information'!I110="nd",I9="nd",'General Info'!I10="nd"),"nd",IF(I9="na",'Equity Related Information'!I110/'General Info'!I10*100,SUM('Equity Related Information'!I110,I9)/'General Info'!I10*100))</f>
        <v>63.915216738138817</v>
      </c>
      <c r="J164" s="93">
        <f>IF(OR('Equity Related Information'!J110="nd",J9="nd",'General Info'!J10="nd"),"nd",IF(J9="na",'Equity Related Information'!J110/'General Info'!J10*100,SUM('Equity Related Information'!J110,J9)/'General Info'!J10*100))</f>
        <v>63.399396811719086</v>
      </c>
      <c r="K164" s="93">
        <f>IF(OR('Equity Related Information'!K110="nd",K9="nd",'General Info'!K10="nd"),"nd",IF(K9="na",'Equity Related Information'!K110/'General Info'!K10*100,SUM('Equity Related Information'!K110,K9)/'General Info'!K10*100))</f>
        <v>68.872204388082665</v>
      </c>
    </row>
    <row r="165" spans="1:11">
      <c r="A165" s="83">
        <v>2</v>
      </c>
      <c r="B165" s="86" t="s">
        <v>364</v>
      </c>
      <c r="C165" s="83" t="s">
        <v>16</v>
      </c>
      <c r="D165" s="93" t="e">
        <f t="shared" ref="D165:I165" si="33">IF(OR(D13="nd",D14="nd",D12="nd"),"nd",IF(D13="na",D14/D12*100,SUM(D13,D14)/D12*100))</f>
        <v>#DIV/0!</v>
      </c>
      <c r="E165" s="93" t="e">
        <f t="shared" si="33"/>
        <v>#DIV/0!</v>
      </c>
      <c r="F165" s="93">
        <f t="shared" si="33"/>
        <v>0</v>
      </c>
      <c r="G165" s="93">
        <f t="shared" si="33"/>
        <v>0</v>
      </c>
      <c r="H165" s="93">
        <f t="shared" si="33"/>
        <v>0</v>
      </c>
      <c r="I165" s="93">
        <f t="shared" si="33"/>
        <v>0</v>
      </c>
      <c r="J165" s="93">
        <f>IF(OR(J13="nd",J14="nd",J12="nd"),"nd",IF(J13="na",J14/J12*100,SUM(J13,J14)/J12*100))</f>
        <v>84.434444671712001</v>
      </c>
      <c r="K165" s="93">
        <f>IF(OR(K13="nd",K14="nd",K12="nd"),"nd",IF(K13="na",K14/K12*100,SUM(K13,K14)/K12*100))</f>
        <v>92.653750183472766</v>
      </c>
    </row>
    <row r="166" spans="1:11">
      <c r="A166" s="83">
        <v>3</v>
      </c>
      <c r="B166" s="86" t="s">
        <v>365</v>
      </c>
      <c r="C166" s="83" t="s">
        <v>16</v>
      </c>
      <c r="D166" s="93" t="e">
        <f>IF(OR('Equity Related Information'!D112="nd",'General Info'!D10="nd"),"nd",IF('Equity Related Information'!D112="na","na",'Equity Related Information'!D112/'General Info'!D10*100))</f>
        <v>#DIV/0!</v>
      </c>
      <c r="E166" s="93" t="e">
        <f>IF(OR('Equity Related Information'!E112="nd",'General Info'!E10="nd"),"nd",IF('Equity Related Information'!E112="na","na",'Equity Related Information'!E112/'General Info'!E10*100))</f>
        <v>#DIV/0!</v>
      </c>
      <c r="F166" s="93">
        <f>IF(OR('Equity Related Information'!F112="nd",'General Info'!F10="nd"),"nd",IF('Equity Related Information'!F112="na","na",'Equity Related Information'!F112/'General Info'!F10*100))</f>
        <v>0</v>
      </c>
      <c r="G166" s="93">
        <f>IF(OR('Equity Related Information'!G112="nd",'General Info'!G10="nd"),"nd",IF('Equity Related Information'!G112="na","na",'Equity Related Information'!G112/'General Info'!G10*100))</f>
        <v>0</v>
      </c>
      <c r="H166" s="93">
        <f>IF(OR('Equity Related Information'!H112="nd",'General Info'!H10="nd"),"nd",IF('Equity Related Information'!H112="na","na",'Equity Related Information'!H112/'General Info'!H10*100))</f>
        <v>0</v>
      </c>
      <c r="I166" s="93">
        <f>IF(OR('Equity Related Information'!I112="nd",'General Info'!I10="nd"),"nd",IF('Equity Related Information'!I112="na","na",'Equity Related Information'!I112/'General Info'!I10*100))</f>
        <v>0</v>
      </c>
      <c r="J166" s="93" t="str">
        <f>IF(OR('Equity Related Information'!J112="nd",'General Info'!J10="nd"),"nd",IF('Equity Related Information'!J112="na","na",'Equity Related Information'!J112/'General Info'!J10*100))</f>
        <v>na</v>
      </c>
      <c r="K166" s="93" t="str">
        <f>IF(OR('Equity Related Information'!K112="nd",'General Info'!K10="nd"),"nd",IF('Equity Related Information'!K112="na","na",'Equity Related Information'!K112/'General Info'!K10*100))</f>
        <v>na</v>
      </c>
    </row>
    <row r="167" spans="1:11">
      <c r="A167" s="83">
        <v>4</v>
      </c>
      <c r="B167" s="86" t="s">
        <v>366</v>
      </c>
      <c r="C167" s="83" t="s">
        <v>16</v>
      </c>
      <c r="D167" s="93" t="e">
        <f>IF('Equity Related Information'!D100="nd","nd",'Equity Related Information'!D100*100/'General Info'!D22)</f>
        <v>#DIV/0!</v>
      </c>
      <c r="E167" s="93" t="e">
        <f>IF('Equity Related Information'!E100="nd","nd",'Equity Related Information'!E100*100/'General Info'!E22)</f>
        <v>#DIV/0!</v>
      </c>
      <c r="F167" s="93">
        <f>IF('Equity Related Information'!F100="nd","nd",'Equity Related Information'!F100*100/'General Info'!F22)</f>
        <v>0</v>
      </c>
      <c r="G167" s="93">
        <f>IF('Equity Related Information'!G100="nd","nd",'Equity Related Information'!G100*100/'General Info'!G22)</f>
        <v>0</v>
      </c>
      <c r="H167" s="93">
        <f>IF('Equity Related Information'!H100="nd","nd",'Equity Related Information'!H100*100/'General Info'!H22)</f>
        <v>0</v>
      </c>
      <c r="I167" s="93">
        <f>IF('Equity Related Information'!I100="nd","nd",'Equity Related Information'!I100*100/'General Info'!I22)</f>
        <v>0</v>
      </c>
      <c r="J167" s="93">
        <f>IF('Equity Related Information'!J100="nd","nd",'Equity Related Information'!J100*100/'General Info'!J22)</f>
        <v>0</v>
      </c>
      <c r="K167" s="93">
        <f>IF('Equity Related Information'!K100="nd","nd",'Equity Related Information'!K100*100/'General Info'!K22)</f>
        <v>0</v>
      </c>
    </row>
    <row r="168" spans="1:11">
      <c r="A168" s="83">
        <v>5</v>
      </c>
      <c r="B168" s="86" t="s">
        <v>367</v>
      </c>
      <c r="C168" s="83" t="s">
        <v>16</v>
      </c>
      <c r="D168" s="93" t="e">
        <f>IF(OR('Equity Related Information'!D103="nd",'Equity Related Information'!D106="nd"),"nd",SUM('Equity Related Information'!D103,'Equity Related Information'!D106)/'General Info'!D22*100)</f>
        <v>#DIV/0!</v>
      </c>
      <c r="E168" s="93" t="e">
        <f>IF(OR('Equity Related Information'!E103="nd",'Equity Related Information'!E106="nd"),"nd",SUM('Equity Related Information'!E103,'Equity Related Information'!E106)/'General Info'!E22*100)</f>
        <v>#DIV/0!</v>
      </c>
      <c r="F168" s="93">
        <f>IF(OR('Equity Related Information'!F103="nd",'Equity Related Information'!F106="nd"),"nd",SUM('Equity Related Information'!F103,'Equity Related Information'!F106)/'General Info'!F22*100)</f>
        <v>0</v>
      </c>
      <c r="G168" s="93">
        <f>IF(OR('Equity Related Information'!G103="nd",'Equity Related Information'!G106="nd"),"nd",SUM('Equity Related Information'!G103,'Equity Related Information'!G106)/'General Info'!G22*100)</f>
        <v>0</v>
      </c>
      <c r="H168" s="93">
        <f>IF(OR('Equity Related Information'!H103="nd",'Equity Related Information'!H106="nd"),"nd",SUM('Equity Related Information'!H103,'Equity Related Information'!H106)/'General Info'!H22*100)</f>
        <v>0</v>
      </c>
      <c r="I168" s="93">
        <f>IF(OR('Equity Related Information'!I103="nd",'Equity Related Information'!I106="nd"),"nd",SUM('Equity Related Information'!I103,'Equity Related Information'!I106)/'General Info'!I22*100)</f>
        <v>0</v>
      </c>
      <c r="J168" s="93">
        <f>IF(OR('Equity Related Information'!J103="nd",'Equity Related Information'!J106="nd"),"nd",SUM('Equity Related Information'!J103,'Equity Related Information'!J106)/'General Info'!J22*100)</f>
        <v>83.285714285714292</v>
      </c>
      <c r="K168" s="93">
        <f>IF(OR('Equity Related Information'!K103="nd",'Equity Related Information'!K106="nd"),"nd",SUM('Equity Related Information'!K103,'Equity Related Information'!K106)/'General Info'!K22*100)</f>
        <v>88.571428571428569</v>
      </c>
    </row>
    <row r="169" spans="1:11">
      <c r="A169" s="83">
        <v>6</v>
      </c>
      <c r="B169" s="86" t="s">
        <v>228</v>
      </c>
      <c r="C169" s="83" t="s">
        <v>16</v>
      </c>
      <c r="D169" s="93" t="e">
        <f>IF(OR('Equity Related Information'!D92="nd",'Equity Related Information'!D112="nd",'Equity Related Information'!D113="nd"),"nd",IF(OR('Equity Related Information'!D92="na",'Equity Related Information'!D112="na",'Equity Related Information'!D113="na"),"na",'Equity Related Information'!D92/SUM('Equity Related Information'!D112,'Equity Related Information'!D113)*100))</f>
        <v>#DIV/0!</v>
      </c>
      <c r="E169" s="93" t="e">
        <f>IF(OR('Equity Related Information'!E92="nd",'Equity Related Information'!E112="nd",'Equity Related Information'!E113="nd"),"nd",IF(OR('Equity Related Information'!E92="na",'Equity Related Information'!E112="na",'Equity Related Information'!E113="na"),"na",'Equity Related Information'!E92/SUM('Equity Related Information'!E112,'Equity Related Information'!E113)*100))</f>
        <v>#DIV/0!</v>
      </c>
      <c r="F169" s="93" t="e">
        <f>IF(OR('Equity Related Information'!F92="nd",'Equity Related Information'!F112="nd",'Equity Related Information'!F113="nd"),"nd",IF(OR('Equity Related Information'!F92="na",'Equity Related Information'!F112="na",'Equity Related Information'!F113="na"),"na",'Equity Related Information'!F92/SUM('Equity Related Information'!F112,'Equity Related Information'!F113)*100))</f>
        <v>#DIV/0!</v>
      </c>
      <c r="G169" s="93" t="e">
        <f>IF(OR('Equity Related Information'!G92="nd",'Equity Related Information'!G112="nd",'Equity Related Information'!G113="nd"),"nd",IF(OR('Equity Related Information'!G92="na",'Equity Related Information'!G112="na",'Equity Related Information'!G113="na"),"na",'Equity Related Information'!G92/SUM('Equity Related Information'!G112,'Equity Related Information'!G113)*100))</f>
        <v>#DIV/0!</v>
      </c>
      <c r="H169" s="93" t="e">
        <f>IF(OR('Equity Related Information'!H92="nd",'Equity Related Information'!H112="nd",'Equity Related Information'!H113="nd"),"nd",IF(OR('Equity Related Information'!H92="na",'Equity Related Information'!H112="na",'Equity Related Information'!H113="na"),"na",'Equity Related Information'!H92/SUM('Equity Related Information'!H112,'Equity Related Information'!H113)*100))</f>
        <v>#DIV/0!</v>
      </c>
      <c r="I169" s="93" t="e">
        <f>IF(OR('Equity Related Information'!I92="nd",'Equity Related Information'!I112="nd",'Equity Related Information'!I113="nd"),"nd",IF(OR('Equity Related Information'!I92="na",'Equity Related Information'!I112="na",'Equity Related Information'!I113="na"),"na",'Equity Related Information'!I92/SUM('Equity Related Information'!I112,'Equity Related Information'!I113)*100))</f>
        <v>#DIV/0!</v>
      </c>
      <c r="J169" s="93" t="str">
        <f>IF(OR('Equity Related Information'!J92="nd",'Equity Related Information'!J112="nd",'Equity Related Information'!J113="nd"),"nd",IF(OR('Equity Related Information'!J92="na",'Equity Related Information'!J112="na",'Equity Related Information'!J113="na"),"na",'Equity Related Information'!J92/SUM('Equity Related Information'!J112,'Equity Related Information'!J113)*100))</f>
        <v>na</v>
      </c>
      <c r="K169" s="93" t="str">
        <f>IF(OR('Equity Related Information'!K92="nd",'Equity Related Information'!K112="nd",'Equity Related Information'!K113="nd"),"nd",IF(OR('Equity Related Information'!K92="na",'Equity Related Information'!K112="na",'Equity Related Information'!K113="na"),"na",'Equity Related Information'!K92/SUM('Equity Related Information'!K112,'Equity Related Information'!K113)*100))</f>
        <v>na</v>
      </c>
    </row>
    <row r="170" spans="1:11">
      <c r="A170" s="83">
        <v>7</v>
      </c>
      <c r="B170" s="86" t="s">
        <v>229</v>
      </c>
      <c r="C170" s="83" t="s">
        <v>16</v>
      </c>
      <c r="D170" s="93">
        <f>IF('Equity Related Information'!D93="na","na",IF('Equity Related Information'!D93="nd","nd",'Equity Related Information'!D93))</f>
        <v>0</v>
      </c>
      <c r="E170" s="93">
        <f>IF('Equity Related Information'!E93="na","na",IF('Equity Related Information'!E93="nd","nd",'Equity Related Information'!E93))</f>
        <v>0</v>
      </c>
      <c r="F170" s="93">
        <f>IF('Equity Related Information'!F93="na","na",IF('Equity Related Information'!F93="nd","nd",'Equity Related Information'!F93))</f>
        <v>0</v>
      </c>
      <c r="G170" s="93">
        <f>IF('Equity Related Information'!G93="na","na",IF('Equity Related Information'!G93="nd","nd",'Equity Related Information'!G93))</f>
        <v>0</v>
      </c>
      <c r="H170" s="93">
        <f>IF('Equity Related Information'!H93="na","na",IF('Equity Related Information'!H93="nd","nd",'Equity Related Information'!H93))</f>
        <v>0</v>
      </c>
      <c r="I170" s="93">
        <f>IF('Equity Related Information'!I93="na","na",IF('Equity Related Information'!I93="nd","nd",'Equity Related Information'!I93))</f>
        <v>0</v>
      </c>
      <c r="J170" s="93" t="str">
        <f>IF('Equity Related Information'!J93="na","na",IF('Equity Related Information'!J93="nd","nd",'Equity Related Information'!J93))</f>
        <v>na</v>
      </c>
      <c r="K170" s="93" t="str">
        <f>IF('Equity Related Information'!K93="na","na",IF('Equity Related Information'!K93="nd","nd",'Equity Related Information'!K93))</f>
        <v>na</v>
      </c>
    </row>
    <row r="171" spans="1:11">
      <c r="A171" s="83">
        <v>8</v>
      </c>
      <c r="B171" s="86" t="s">
        <v>368</v>
      </c>
      <c r="C171" s="83" t="s">
        <v>244</v>
      </c>
      <c r="D171" s="144" t="e">
        <f>IF('Equity Related Information'!D98="N","na",IF(OR('Equity Related Information'!D99="nd",'Equity Related Information'!D102="nd",'Equity Related Information'!D105="nd",sewerage!D104="nd"),"nd",sewerage!D104/SUM('Equity Related Information'!D99,'Equity Related Information'!D102,'Equity Related Information'!D105)))</f>
        <v>#DIV/0!</v>
      </c>
      <c r="E171" s="144" t="e">
        <f>IF('Equity Related Information'!E98="N","na",IF(OR('Equity Related Information'!E99="nd",'Equity Related Information'!E102="nd",'Equity Related Information'!E105="nd",sewerage!E104="nd"),"nd",sewerage!E104/SUM('Equity Related Information'!E99,'Equity Related Information'!E102,'Equity Related Information'!E105)))</f>
        <v>#DIV/0!</v>
      </c>
      <c r="F171" s="144" t="e">
        <f>IF('Equity Related Information'!F98="N","na",IF(OR('Equity Related Information'!F99="nd",'Equity Related Information'!F102="nd",'Equity Related Information'!F105="nd",sewerage!F104="nd"),"nd",sewerage!F104/SUM('Equity Related Information'!F99,'Equity Related Information'!F102,'Equity Related Information'!F105)))</f>
        <v>#DIV/0!</v>
      </c>
      <c r="G171" s="144" t="e">
        <f>IF('Equity Related Information'!G98="N","na",IF(OR('Equity Related Information'!G99="nd",'Equity Related Information'!G102="nd",'Equity Related Information'!G105="nd",sewerage!G104="nd"),"nd",sewerage!G104/SUM('Equity Related Information'!G99,'Equity Related Information'!G102,'Equity Related Information'!G105)))</f>
        <v>#DIV/0!</v>
      </c>
      <c r="H171" s="144" t="e">
        <f>IF('Equity Related Information'!H98="N","na",IF(OR('Equity Related Information'!H99="nd",'Equity Related Information'!H102="nd",'Equity Related Information'!H105="nd",sewerage!H105="nd"),"nd",sewerage!H105/SUM('Equity Related Information'!H99,'Equity Related Information'!H102,'Equity Related Information'!H105)))</f>
        <v>#DIV/0!</v>
      </c>
      <c r="I171" s="144">
        <f>IF('Equity Related Information'!I98="N","na",IF(OR('Equity Related Information'!I99="nd",'Equity Related Information'!I102="nd",'Equity Related Information'!I105="nd",sewerage!I104="nd"),"nd",sewerage!I104/SUM('Equity Related Information'!I99,'Equity Related Information'!I102,'Equity Related Information'!I105)))</f>
        <v>0</v>
      </c>
      <c r="J171" s="144">
        <f>IF('Equity Related Information'!J98="N","na",IF(OR('Equity Related Information'!J99="nd",'Equity Related Information'!J102="nd",'Equity Related Information'!J105="nd",sewerage!J105="nd"),"nd",sewerage!J105/SUM('Equity Related Information'!J99,'Equity Related Information'!J102,'Equity Related Information'!J105)))</f>
        <v>0</v>
      </c>
      <c r="K171" s="144">
        <f>IF('Equity Related Information'!K98="N","na",IF(OR('Equity Related Information'!K99="nd",'Equity Related Information'!K102="nd",'Equity Related Information'!K105="nd",sewerage!K105="nd"),"nd",sewerage!K105/SUM('Equity Related Information'!K99,'Equity Related Information'!K102,'Equity Related Information'!K105)))</f>
        <v>0</v>
      </c>
    </row>
    <row r="172" spans="1:11">
      <c r="A172" s="83">
        <v>9</v>
      </c>
      <c r="B172" s="86" t="s">
        <v>369</v>
      </c>
      <c r="C172" s="83" t="s">
        <v>16</v>
      </c>
      <c r="D172" s="93" t="e">
        <f t="shared" ref="D172:I172" si="34">IF(OR(D43="nd",D44="nd"),"nd",IF(OR(D43="na",D44="na"),"na",D43/D44*100))</f>
        <v>#DIV/0!</v>
      </c>
      <c r="E172" s="93" t="e">
        <f t="shared" si="34"/>
        <v>#DIV/0!</v>
      </c>
      <c r="F172" s="93">
        <f t="shared" si="34"/>
        <v>0</v>
      </c>
      <c r="G172" s="93">
        <f t="shared" si="34"/>
        <v>0</v>
      </c>
      <c r="H172" s="93">
        <f t="shared" si="34"/>
        <v>0</v>
      </c>
      <c r="I172" s="93">
        <f t="shared" si="34"/>
        <v>0</v>
      </c>
      <c r="J172" s="93" t="str">
        <f>IF(OR(J43="nd",J44="nd"),"nd",IF(OR(J43="na",J44="na"),"na",J43/J44*100))</f>
        <v>na</v>
      </c>
      <c r="K172" s="93" t="str">
        <f>IF(OR(K43="nd",K44="nd"),"nd",IF(OR(K43="na",K44="na"),"na",K43/K44*100))</f>
        <v>na</v>
      </c>
    </row>
    <row r="173" spans="1:11">
      <c r="A173" s="83">
        <v>10</v>
      </c>
      <c r="B173" s="86" t="s">
        <v>370</v>
      </c>
      <c r="C173" s="83" t="s">
        <v>16</v>
      </c>
      <c r="D173" s="93">
        <f t="shared" ref="D173:I173" si="35">IF(OR(D34="nd",D41="nd"),"nd",IF(D41="na","na",IF(D34=0,0,D41/D34*100)))</f>
        <v>0</v>
      </c>
      <c r="E173" s="93">
        <f t="shared" si="35"/>
        <v>0</v>
      </c>
      <c r="F173" s="93">
        <f t="shared" si="35"/>
        <v>0</v>
      </c>
      <c r="G173" s="93">
        <f t="shared" si="35"/>
        <v>0</v>
      </c>
      <c r="H173" s="93">
        <f t="shared" si="35"/>
        <v>0</v>
      </c>
      <c r="I173" s="93">
        <f t="shared" si="35"/>
        <v>0</v>
      </c>
      <c r="J173" s="93" t="str">
        <f>IF(OR(J34="nd",J41="nd"),"nd",IF(J41="na","na",IF(J34=0,0,J41/J34*100)))</f>
        <v>na</v>
      </c>
      <c r="K173" s="93" t="str">
        <f>IF(OR(K34="nd",K41="nd"),"nd",IF(K41="na","na",IF(K34=0,0,K41/K34*100)))</f>
        <v>na</v>
      </c>
    </row>
    <row r="174" spans="1:11">
      <c r="A174" s="83">
        <v>11</v>
      </c>
      <c r="B174" s="86" t="s">
        <v>371</v>
      </c>
      <c r="C174" s="83" t="s">
        <v>227</v>
      </c>
      <c r="D174" s="93">
        <f>'Equity Related Information'!D108</f>
        <v>0</v>
      </c>
      <c r="E174" s="93">
        <f>'Equity Related Information'!E108</f>
        <v>0</v>
      </c>
      <c r="F174" s="93">
        <f>'Equity Related Information'!F108</f>
        <v>0</v>
      </c>
      <c r="G174" s="93">
        <f>'Equity Related Information'!G108</f>
        <v>0</v>
      </c>
      <c r="H174" s="93">
        <f>'Equity Related Information'!H108</f>
        <v>0</v>
      </c>
      <c r="I174" s="93" t="str">
        <f>'Equity Related Information'!I108</f>
        <v>YES</v>
      </c>
      <c r="J174" s="93" t="str">
        <f>'Equity Related Information'!J108</f>
        <v>YES</v>
      </c>
      <c r="K174" s="93" t="str">
        <f>'Equity Related Information'!K108</f>
        <v>YES</v>
      </c>
    </row>
    <row r="175" spans="1:11">
      <c r="A175" s="83">
        <v>12</v>
      </c>
      <c r="B175" s="86" t="s">
        <v>372</v>
      </c>
      <c r="C175" s="83" t="s">
        <v>227</v>
      </c>
      <c r="D175" s="93">
        <f>'Equity Related Information'!D109</f>
        <v>0</v>
      </c>
      <c r="E175" s="93">
        <f>'Equity Related Information'!E109</f>
        <v>0</v>
      </c>
      <c r="F175" s="93">
        <f>'Equity Related Information'!F109</f>
        <v>0</v>
      </c>
      <c r="G175" s="93">
        <f>'Equity Related Information'!G109</f>
        <v>0</v>
      </c>
      <c r="H175" s="93">
        <f>'Equity Related Information'!H109</f>
        <v>0</v>
      </c>
      <c r="I175" s="93">
        <f>'Equity Related Information'!I109</f>
        <v>0</v>
      </c>
      <c r="J175" s="93" t="str">
        <f>'Equity Related Information'!J109</f>
        <v>NA</v>
      </c>
      <c r="K175" s="93">
        <f>'Equity Related Information'!K109</f>
        <v>0</v>
      </c>
    </row>
    <row r="176" spans="1:11">
      <c r="A176" s="83">
        <v>13</v>
      </c>
      <c r="B176" s="86" t="s">
        <v>373</v>
      </c>
      <c r="C176" s="83" t="s">
        <v>16</v>
      </c>
      <c r="D176" s="93">
        <f t="shared" ref="D176:I176" si="36">IF(OR(D36="nd",D41="nd"),"nd",IF(OR(D36="na",D41="na"),"na",IF(D41=0,0,D36/D41*100)))</f>
        <v>0</v>
      </c>
      <c r="E176" s="93">
        <f t="shared" si="36"/>
        <v>0</v>
      </c>
      <c r="F176" s="93">
        <f t="shared" si="36"/>
        <v>0</v>
      </c>
      <c r="G176" s="93">
        <f t="shared" si="36"/>
        <v>0</v>
      </c>
      <c r="H176" s="93">
        <f t="shared" si="36"/>
        <v>0</v>
      </c>
      <c r="I176" s="93">
        <f t="shared" si="36"/>
        <v>0</v>
      </c>
      <c r="J176" s="93" t="str">
        <f>IF(OR(J36="nd",J41="nd"),"nd",IF(OR(J36="na",J41="na"),"na",IF(J41=0,0,J36/J41*100)))</f>
        <v>na</v>
      </c>
      <c r="K176" s="93" t="str">
        <f>IF(OR(K36="nd",K41="nd"),"nd",IF(OR(K36="na",K41="na"),"na",IF(K41=0,0,K36/K41*100)))</f>
        <v>na</v>
      </c>
    </row>
    <row r="177" spans="1:11">
      <c r="A177" s="83">
        <v>14</v>
      </c>
      <c r="B177" s="86" t="s">
        <v>374</v>
      </c>
      <c r="C177" s="83" t="s">
        <v>19</v>
      </c>
      <c r="D177" s="93">
        <f>IF('Equity Related Information'!D135="nd","nd",'Equity Related Information'!D135)</f>
        <v>0</v>
      </c>
      <c r="E177" s="93">
        <f>IF('Equity Related Information'!E135="nd","nd",'Equity Related Information'!E135)</f>
        <v>0</v>
      </c>
      <c r="F177" s="93">
        <f>IF('Equity Related Information'!F135="nd","nd",'Equity Related Information'!F135)</f>
        <v>0</v>
      </c>
      <c r="G177" s="93">
        <f>IF('Equity Related Information'!G135="nd","nd",'Equity Related Information'!G135)</f>
        <v>0</v>
      </c>
      <c r="H177" s="93">
        <f>IF('Equity Related Information'!H135="nd","nd",'Equity Related Information'!H135)</f>
        <v>0</v>
      </c>
      <c r="I177" s="93">
        <f>IF('Equity Related Information'!I135="nd","nd",'Equity Related Information'!I135)</f>
        <v>22400</v>
      </c>
      <c r="J177" s="93">
        <f>IF('Equity Related Information'!J135="nd","nd",'Equity Related Information'!J135)</f>
        <v>22400</v>
      </c>
      <c r="K177" s="93">
        <f>IF('Equity Related Information'!K135="nd","nd",'Equity Related Information'!K135)</f>
        <v>20640</v>
      </c>
    </row>
    <row r="178" spans="1:11">
      <c r="A178" s="83">
        <v>15</v>
      </c>
      <c r="B178" s="86" t="s">
        <v>375</v>
      </c>
      <c r="C178" s="83" t="s">
        <v>227</v>
      </c>
      <c r="D178" s="93">
        <f>'Equity Related Information'!D153</f>
        <v>0</v>
      </c>
      <c r="E178" s="93">
        <f>'Equity Related Information'!E153</f>
        <v>0</v>
      </c>
      <c r="F178" s="93">
        <f>'Equity Related Information'!F153</f>
        <v>0</v>
      </c>
      <c r="G178" s="93">
        <f>'Equity Related Information'!G153</f>
        <v>0</v>
      </c>
      <c r="H178" s="93">
        <f>'Equity Related Information'!H153</f>
        <v>0</v>
      </c>
      <c r="I178" s="93" t="str">
        <f>'Equity Related Information'!I153</f>
        <v>NO</v>
      </c>
      <c r="J178" s="93" t="str">
        <f>'Equity Related Information'!J153</f>
        <v>NO</v>
      </c>
      <c r="K178" s="93" t="str">
        <f>'Equity Related Information'!K153</f>
        <v>NO</v>
      </c>
    </row>
    <row r="179" spans="1:11">
      <c r="A179" s="83">
        <v>16</v>
      </c>
      <c r="B179" s="86" t="s">
        <v>376</v>
      </c>
      <c r="C179" s="83" t="s">
        <v>244</v>
      </c>
      <c r="D179" s="93" t="e">
        <f>IF(OR(D107="nd",D108="nd",'Equity Related Information'!D144="nd"),"nd",IF('Equity Related Information'!D144="na","na",SUM(D107,D108)/('Equity Related Information'!D144/1000)))</f>
        <v>#DIV/0!</v>
      </c>
      <c r="E179" s="93" t="e">
        <f>IF(OR(E107="nd",E108="nd",'Equity Related Information'!E144="nd"),"nd",IF('Equity Related Information'!E144="na","na",SUM(E107,E108)/('Equity Related Information'!E144/1000)))</f>
        <v>#DIV/0!</v>
      </c>
      <c r="F179" s="93" t="e">
        <f>IF(OR(F107="nd",F108="nd",'Equity Related Information'!F144="nd"),"nd",IF('Equity Related Information'!F144="na","na",SUM(F107,F108)/('Equity Related Information'!F144/1000)))</f>
        <v>#DIV/0!</v>
      </c>
      <c r="G179" s="93" t="e">
        <f>IF(OR(G107="nd",G108="nd",'Equity Related Information'!G144="nd"),"nd",IF('Equity Related Information'!G144="na","na",SUM(G107,G108)/('Equity Related Information'!G144/1000)))</f>
        <v>#DIV/0!</v>
      </c>
      <c r="H179" s="93" t="e">
        <f>IF(OR(H107="nd",H108="nd",'Equity Related Information'!H144="nd"),"nd",IF('Equity Related Information'!H144="na","na",SUM(H107,H108)/('Equity Related Information'!H144/1000)))</f>
        <v>#DIV/0!</v>
      </c>
      <c r="I179" s="93">
        <f>IF(OR(I107="nd",I108="nd",'Equity Related Information'!I144="nd"),"nd",IF('Equity Related Information'!I144="na","na",SUM(I107,I108)/('Equity Related Information'!I144/1000)))</f>
        <v>8.834312469632051E-2</v>
      </c>
      <c r="J179" s="93">
        <f>IF(OR(J107="nd",J108="nd",'Equity Related Information'!J144="nd"),"nd",IF('Equity Related Information'!J144="na","na",SUM(J107,J108)/('Equity Related Information'!J144/1000)))</f>
        <v>0.13251468704448077</v>
      </c>
      <c r="K179" s="93">
        <f>IF(OR(K107="nd",K108="nd",'Equity Related Information'!K144="nd"),"nd",IF('Equity Related Information'!K144="na","na",SUM(K107,K108)/('Equity Related Information'!K144/1000)))</f>
        <v>0.14485755673587639</v>
      </c>
    </row>
    <row r="180" spans="1:11">
      <c r="A180" s="83">
        <v>17</v>
      </c>
      <c r="B180" s="86" t="s">
        <v>377</v>
      </c>
      <c r="C180" s="83" t="s">
        <v>19</v>
      </c>
      <c r="D180" s="93" t="e">
        <f>IF(OR('Equity Related Information'!D145="nd",'Equity Related Information'!D144="nd"),"nd",IF(OR('Equity Related Information'!D145="na",'Equity Related Information'!D144="na"),"na",'Equity Related Information'!D145/'Equity Related Information'!D144*100))</f>
        <v>#DIV/0!</v>
      </c>
      <c r="E180" s="93" t="e">
        <f>IF(OR('Equity Related Information'!E145="nd",'Equity Related Information'!E144="nd"),"nd",IF(OR('Equity Related Information'!E145="na",'Equity Related Information'!E144="na"),"na",'Equity Related Information'!E145/'Equity Related Information'!E144*100))</f>
        <v>#DIV/0!</v>
      </c>
      <c r="F180" s="93" t="e">
        <f>IF(OR('Equity Related Information'!F145="nd",'Equity Related Information'!F144="nd"),"nd",IF(OR('Equity Related Information'!F145="na",'Equity Related Information'!F144="na"),"na",'Equity Related Information'!F145/'Equity Related Information'!F144*100))</f>
        <v>#DIV/0!</v>
      </c>
      <c r="G180" s="93" t="e">
        <f>IF(OR('Equity Related Information'!G145="nd",'Equity Related Information'!G144="nd"),"nd",IF(OR('Equity Related Information'!G145="na",'Equity Related Information'!G144="na"),"na",'Equity Related Information'!G145/'Equity Related Information'!G144*100))</f>
        <v>#DIV/0!</v>
      </c>
      <c r="H180" s="93" t="e">
        <f>IF(OR('Equity Related Information'!H145="nd",'Equity Related Information'!H144="nd"),"nd",IF(OR('Equity Related Information'!H145="na",'Equity Related Information'!H144="na"),"na",'Equity Related Information'!H145/'Equity Related Information'!H144*100))</f>
        <v>#DIV/0!</v>
      </c>
      <c r="I180" s="93">
        <f>IF(OR('Equity Related Information'!I145="nd",'Equity Related Information'!I144="nd"),"nd",IF(OR('Equity Related Information'!I145="na",'Equity Related Information'!I144="na"),"na",'Equity Related Information'!I145/'Equity Related Information'!I144*100))</f>
        <v>2.3410928044524932</v>
      </c>
      <c r="J180" s="93">
        <f>IF(OR('Equity Related Information'!J145="nd",'Equity Related Information'!J144="nd"),"nd",IF(OR('Equity Related Information'!J145="na",'Equity Related Information'!J144="na"),"na",'Equity Related Information'!J145/'Equity Related Information'!J144*100))</f>
        <v>2.4294359291488141</v>
      </c>
      <c r="K180" s="93">
        <f>IF(OR('Equity Related Information'!K145="nd",'Equity Related Information'!K144="nd"),"nd",IF(OR('Equity Related Information'!K145="na",'Equity Related Information'!K144="na"),"na",'Equity Related Information'!K145/'Equity Related Information'!K144*100))</f>
        <v>2.8005794302269438</v>
      </c>
    </row>
    <row r="181" spans="1:11">
      <c r="A181" s="83">
        <v>18</v>
      </c>
      <c r="B181" s="86" t="s">
        <v>378</v>
      </c>
      <c r="C181" s="83" t="s">
        <v>379</v>
      </c>
      <c r="D181" s="145" t="e">
        <f t="shared" ref="D181:J181" si="37">IF(OR(D64="nd",D44="nd"),"nd",IF(D64="na","na",(D64/365*(10^5))/(D44*1000)))</f>
        <v>#DIV/0!</v>
      </c>
      <c r="E181" s="145" t="e">
        <f t="shared" si="37"/>
        <v>#DIV/0!</v>
      </c>
      <c r="F181" s="145">
        <f t="shared" si="37"/>
        <v>0</v>
      </c>
      <c r="G181" s="145">
        <f t="shared" si="37"/>
        <v>0</v>
      </c>
      <c r="H181" s="145">
        <f t="shared" si="37"/>
        <v>0</v>
      </c>
      <c r="I181" s="145">
        <f t="shared" si="37"/>
        <v>0</v>
      </c>
      <c r="J181" s="145">
        <f t="shared" si="37"/>
        <v>0.15220700152207001</v>
      </c>
      <c r="K181" s="145">
        <f>IF(OR(K64="nd",K44="nd"),"nd",IF(K64="na","na",(K64/365*(10^5))/(K44*1000)))</f>
        <v>0.16742770167427704</v>
      </c>
    </row>
    <row r="182" spans="1:11">
      <c r="A182" s="83">
        <v>19</v>
      </c>
      <c r="B182" s="86" t="s">
        <v>380</v>
      </c>
      <c r="C182" s="83" t="s">
        <v>16</v>
      </c>
      <c r="D182" s="93" t="e">
        <f t="shared" ref="D182:I182" si="38">IF(OR(D104="nd",D103="nd"),"nd",IF(OR(D104="na",D103="na"),"na",D104/D103*100))</f>
        <v>#DIV/0!</v>
      </c>
      <c r="E182" s="93" t="e">
        <f t="shared" si="38"/>
        <v>#DIV/0!</v>
      </c>
      <c r="F182" s="93" t="e">
        <f t="shared" si="38"/>
        <v>#DIV/0!</v>
      </c>
      <c r="G182" s="93" t="e">
        <f t="shared" si="38"/>
        <v>#DIV/0!</v>
      </c>
      <c r="H182" s="145" t="e">
        <f t="shared" si="38"/>
        <v>#DIV/0!</v>
      </c>
      <c r="I182" s="93" t="e">
        <f t="shared" si="38"/>
        <v>#DIV/0!</v>
      </c>
      <c r="J182" s="93">
        <f>IF(OR(J104="nd",J103="nd"),"nd",IF(OR(J104="na",J103="na"),"na",J104/J103*100))</f>
        <v>100</v>
      </c>
      <c r="K182" s="93">
        <f>IF(OR(K104="nd",K103="nd"),"nd",IF(OR(K104="na",K103="na"),"na",K104/K103*100))</f>
        <v>100</v>
      </c>
    </row>
    <row r="183" spans="1:11">
      <c r="A183" s="83">
        <v>20</v>
      </c>
      <c r="B183" s="84" t="s">
        <v>381</v>
      </c>
      <c r="C183" s="83" t="s">
        <v>244</v>
      </c>
      <c r="D183" s="93" t="e">
        <f>IF(OR('Equity Related Information'!D112="nd",'Equity Related Information'!D113="nd",D104="nd"),"nd",IF(D104="na","na",D104/(SUM('Equity Related Information'!D112,'Equity Related Information'!D113)/1000)))</f>
        <v>#DIV/0!</v>
      </c>
      <c r="E183" s="93" t="e">
        <f>IF(OR('Equity Related Information'!E112="nd",'Equity Related Information'!E113="nd",E104="nd"),"nd",IF(E104="na","na",E104/(SUM('Equity Related Information'!E112,'Equity Related Information'!E113)/1000)))</f>
        <v>#DIV/0!</v>
      </c>
      <c r="F183" s="93" t="e">
        <f>IF(OR('Equity Related Information'!F112="nd",'Equity Related Information'!F113="nd",F104="nd"),"nd",IF(F104="na","na",F104/(SUM('Equity Related Information'!F112,'Equity Related Information'!F113)/1000)))</f>
        <v>#DIV/0!</v>
      </c>
      <c r="G183" s="93" t="e">
        <f>IF(OR('Equity Related Information'!G112="nd",'Equity Related Information'!G113="nd",G104="nd"),"nd",IF(G104="na","na",G104/(SUM('Equity Related Information'!G112,'Equity Related Information'!G113)/1000)))</f>
        <v>#DIV/0!</v>
      </c>
      <c r="H183" s="93" t="e">
        <f>IF(OR('Equity Related Information'!H112="nd",'Equity Related Information'!H113="nd",H104="nd"),"nd",IF(H104="na","na",H104/(SUM('Equity Related Information'!H112,'Equity Related Information'!H113)/1000)))</f>
        <v>#DIV/0!</v>
      </c>
      <c r="I183" s="93" t="e">
        <f>IF(OR('Equity Related Information'!I112="nd",'Equity Related Information'!I113="nd",I104="nd"),"nd",IF(I104="na","na",I104/(SUM('Equity Related Information'!I112,'Equity Related Information'!I113)/1000)))</f>
        <v>#DIV/0!</v>
      </c>
      <c r="J183" s="93" t="e">
        <f>IF(OR('Equity Related Information'!J112="nd",'Equity Related Information'!J113="nd",J104="nd"),"nd",IF(J104="na","na",J104/(SUM('Equity Related Information'!J112,'Equity Related Information'!J113)/1000)))</f>
        <v>#DIV/0!</v>
      </c>
      <c r="K183" s="93" t="e">
        <f>IF(OR('Equity Related Information'!K112="nd",'Equity Related Information'!K113="nd",K104="nd"),"nd",IF(K104="na","na",K104/(SUM('Equity Related Information'!K112,'Equity Related Information'!K113)/1000)))</f>
        <v>#DIV/0!</v>
      </c>
    </row>
    <row r="184" spans="1:11">
      <c r="A184" s="83">
        <v>21</v>
      </c>
      <c r="B184" s="84" t="s">
        <v>382</v>
      </c>
      <c r="C184" s="83" t="s">
        <v>199</v>
      </c>
      <c r="D184" s="93" t="e">
        <f>IF(OR('Equity Related Information'!D112="nd",'Equity Related Information'!D113="nd",D81="nd"),"nd",IF(D81="na","na",(D81*10^5)/SUM('Equity Related Information'!D112,'Equity Related Information'!D113)))</f>
        <v>#DIV/0!</v>
      </c>
      <c r="E184" s="93" t="e">
        <f>IF(OR('Equity Related Information'!E112="nd",'Equity Related Information'!E113="nd",E81="nd"),"nd",IF(E81="na","na",(E81*10^5)/SUM('Equity Related Information'!E112,'Equity Related Information'!E113)))</f>
        <v>#DIV/0!</v>
      </c>
      <c r="F184" s="93" t="e">
        <f>IF(OR('Equity Related Information'!F112="nd",'Equity Related Information'!F113="nd",F81="nd"),"nd",IF(F81="na","na",(F81*10^5)/SUM('Equity Related Information'!F112,'Equity Related Information'!F113)))</f>
        <v>#DIV/0!</v>
      </c>
      <c r="G184" s="93" t="e">
        <f>IF(OR('Equity Related Information'!G112="nd",'Equity Related Information'!G113="nd",G81="nd"),"nd",IF(G81="na","na",(G81*10^5)/SUM('Equity Related Information'!G112,'Equity Related Information'!G113)))</f>
        <v>#DIV/0!</v>
      </c>
      <c r="H184" s="93" t="e">
        <f>IF(OR('Equity Related Information'!H112="nd",'Equity Related Information'!H113="nd",H81="nd"),"nd",IF(H81="na","na",(H81*10^5)/SUM('Equity Related Information'!H112,'Equity Related Information'!H113)))</f>
        <v>#DIV/0!</v>
      </c>
      <c r="I184" s="93" t="e">
        <f>IF(OR('Equity Related Information'!I112="nd",'Equity Related Information'!I113="nd",I81="nd"),"nd",IF(I81="na","na",(I81*10^5)/SUM('Equity Related Information'!I112,'Equity Related Information'!I113)))</f>
        <v>#DIV/0!</v>
      </c>
      <c r="J184" s="93" t="e">
        <f>IF(OR('Equity Related Information'!J112="nd",'Equity Related Information'!J113="nd",J81="nd"),"nd",IF(J81="na","na",(J81*10^5)/SUM('Equity Related Information'!J112,'Equity Related Information'!J113)))</f>
        <v>#DIV/0!</v>
      </c>
      <c r="K184" s="93" t="e">
        <f>IF(OR('Equity Related Information'!K112="nd",'Equity Related Information'!K113="nd",K81="nd"),"nd",IF(K81="na","na",(K81*10^5)/SUM('Equity Related Information'!K112,'Equity Related Information'!K113)))</f>
        <v>#DIV/0!</v>
      </c>
    </row>
    <row r="185" spans="1:11">
      <c r="A185" s="83">
        <v>22</v>
      </c>
      <c r="B185" s="84" t="s">
        <v>383</v>
      </c>
      <c r="C185" s="83" t="s">
        <v>244</v>
      </c>
      <c r="D185" s="93" t="e">
        <f>IF(OR(D57="nd",'Equity Related Information'!D112="nd",'Equity Related Information'!D113="nd"),"nd",D57/(SUM('Equity Related Information'!D112,'Equity Related Information'!D113)/1000))</f>
        <v>#DIV/0!</v>
      </c>
      <c r="E185" s="93" t="e">
        <f>IF(OR(E57="nd",'Equity Related Information'!E112="nd",'Equity Related Information'!E113="nd"),"nd",E57/(SUM('Equity Related Information'!E112,'Equity Related Information'!E113)/1000))</f>
        <v>#DIV/0!</v>
      </c>
      <c r="F185" s="93" t="e">
        <f>IF(OR(F57="nd",'Equity Related Information'!F112="nd",'Equity Related Information'!F113="nd"),"nd",F57/(SUM('Equity Related Information'!F112,'Equity Related Information'!F113)/1000))</f>
        <v>#DIV/0!</v>
      </c>
      <c r="G185" s="93" t="e">
        <f>IF(OR(G57="nd",'Equity Related Information'!G112="nd",'Equity Related Information'!G113="nd"),"nd",G57/(SUM('Equity Related Information'!G112,'Equity Related Information'!G113)/1000))</f>
        <v>#DIV/0!</v>
      </c>
      <c r="H185" s="93" t="e">
        <f>IF(OR(H57="nd",'Equity Related Information'!H112="nd",'Equity Related Information'!H113="nd"),"nd",H57/(SUM('Equity Related Information'!H112,'Equity Related Information'!H113)/1000))</f>
        <v>#DIV/0!</v>
      </c>
      <c r="I185" s="93" t="e">
        <f>IF(OR(I57="nd",'Equity Related Information'!I112="nd",'Equity Related Information'!I113="nd"),"nd",I57/(SUM('Equity Related Information'!I112,'Equity Related Information'!I113)/1000))</f>
        <v>#DIV/0!</v>
      </c>
      <c r="J185" s="93" t="e">
        <f>IF(OR(J57="nd",'Equity Related Information'!J112="nd",'Equity Related Information'!J113="nd"),"nd",J57/(SUM('Equity Related Information'!J112,'Equity Related Information'!J113)/1000))</f>
        <v>#DIV/0!</v>
      </c>
      <c r="K185" s="93" t="e">
        <f>IF(OR(K57="nd",'Equity Related Information'!K112="nd",'Equity Related Information'!K113="nd"),"nd",K57/(SUM('Equity Related Information'!K112,'Equity Related Information'!K113)/1000))</f>
        <v>#DIV/0!</v>
      </c>
    </row>
    <row r="186" spans="1:11">
      <c r="A186" s="83">
        <v>23</v>
      </c>
      <c r="B186" s="84" t="s">
        <v>384</v>
      </c>
      <c r="C186" s="83" t="s">
        <v>19</v>
      </c>
      <c r="D186" s="93">
        <f>IF('Equity Related Information'!D117="na","na",IF('Equity Related Information'!D117="nd","nd",'Equity Related Information'!D117))</f>
        <v>0</v>
      </c>
      <c r="E186" s="93">
        <f>IF('Equity Related Information'!E117="na","na",IF('Equity Related Information'!E117="nd","nd",'Equity Related Information'!E117))</f>
        <v>0</v>
      </c>
      <c r="F186" s="93">
        <f>IF('Equity Related Information'!F117="na","na",IF('Equity Related Information'!F117="nd","nd",'Equity Related Information'!F117))</f>
        <v>0</v>
      </c>
      <c r="G186" s="93">
        <f>IF('Equity Related Information'!G117="na","na",IF('Equity Related Information'!G117="nd","nd",'Equity Related Information'!G117))</f>
        <v>0</v>
      </c>
      <c r="H186" s="93">
        <f>IF('Equity Related Information'!H117="na","na",IF('Equity Related Information'!H117="nd","nd",'Equity Related Information'!H117))</f>
        <v>0</v>
      </c>
      <c r="I186" s="93">
        <f>IF('Equity Related Information'!I117="na","na",IF('Equity Related Information'!I117="nd","nd",'Equity Related Information'!I117))</f>
        <v>0</v>
      </c>
      <c r="J186" s="93" t="str">
        <f>IF('Equity Related Information'!J117="na","na",IF('Equity Related Information'!J117="nd","nd",'Equity Related Information'!J117))</f>
        <v>na</v>
      </c>
      <c r="K186" s="93" t="str">
        <f>IF('Equity Related Information'!K117="na","na",IF('Equity Related Information'!K117="nd","nd",'Equity Related Information'!K117))</f>
        <v>na</v>
      </c>
    </row>
    <row r="187" spans="1:11">
      <c r="A187" s="83">
        <v>24</v>
      </c>
      <c r="B187" s="84" t="s">
        <v>263</v>
      </c>
      <c r="C187" s="83" t="s">
        <v>16</v>
      </c>
      <c r="D187" s="93" t="e">
        <f t="shared" ref="D187:I187" si="39">IF(OR(D71="nd",D75="nd"),"nd",IF(D71="na","na",D71/SUM(D71,D75)*100))</f>
        <v>#DIV/0!</v>
      </c>
      <c r="E187" s="93" t="e">
        <f t="shared" si="39"/>
        <v>#DIV/0!</v>
      </c>
      <c r="F187" s="93" t="e">
        <f t="shared" si="39"/>
        <v>#DIV/0!</v>
      </c>
      <c r="G187" s="93" t="e">
        <f t="shared" si="39"/>
        <v>#DIV/0!</v>
      </c>
      <c r="H187" s="93" t="e">
        <f t="shared" si="39"/>
        <v>#DIV/0!</v>
      </c>
      <c r="I187" s="93" t="e">
        <f t="shared" si="39"/>
        <v>#DIV/0!</v>
      </c>
      <c r="J187" s="93">
        <f>IF(OR(J71="nd",J75="nd"),"nd",IF(J71="na","na",J71/SUM(J71,J75)*100))</f>
        <v>41.005025125628144</v>
      </c>
      <c r="K187" s="93">
        <f>IF(OR(K71="nd",K75="nd"),"nd",IF(K71="na","na",K71/SUM(K71,K75)*100))</f>
        <v>42.434210526315788</v>
      </c>
    </row>
  </sheetData>
  <mergeCells count="8">
    <mergeCell ref="A1:K1"/>
    <mergeCell ref="A3:K3"/>
    <mergeCell ref="A93:E93"/>
    <mergeCell ref="B105:E105"/>
    <mergeCell ref="A2:E2"/>
    <mergeCell ref="B6:E6"/>
    <mergeCell ref="A83:E83"/>
    <mergeCell ref="A88:E88"/>
  </mergeCells>
  <pageMargins left="0.16" right="0.14000000000000001" top="0.75" bottom="0.75" header="0.51180555555555596" footer="0.51180555555555596"/>
  <pageSetup scale="60" firstPageNumber="0" orientation="portrait" horizontalDpi="300" verticalDpi="300" r:id="rId1"/>
  <headerFooter alignWithMargins="0"/>
  <rowBreaks count="3" manualBreakCount="3">
    <brk id="45" max="16383" man="1"/>
    <brk id="92" max="16383" man="1"/>
    <brk id="1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181"/>
  <sheetViews>
    <sheetView workbookViewId="0">
      <selection sqref="A1:K1"/>
    </sheetView>
  </sheetViews>
  <sheetFormatPr defaultRowHeight="12.75"/>
  <cols>
    <col min="1" max="1" width="5.5703125" style="1" bestFit="1" customWidth="1"/>
    <col min="2" max="2" width="71.140625" style="1" bestFit="1" customWidth="1"/>
    <col min="3" max="3" width="15.140625" style="1" bestFit="1" customWidth="1"/>
    <col min="4" max="11" width="11.140625" style="1" bestFit="1" customWidth="1"/>
    <col min="12" max="12" width="9.140625" style="1" bestFit="1"/>
    <col min="13" max="16384" width="9.140625" style="1"/>
  </cols>
  <sheetData>
    <row r="1" spans="1:11" ht="15.75">
      <c r="A1" s="426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1" ht="15.75">
      <c r="A2" s="426"/>
      <c r="B2" s="426"/>
      <c r="C2" s="426"/>
      <c r="D2" s="426"/>
      <c r="E2" s="426"/>
      <c r="F2" s="28"/>
      <c r="G2" s="28"/>
      <c r="H2" s="28"/>
      <c r="I2" s="28"/>
      <c r="J2" s="28"/>
      <c r="K2" s="28"/>
    </row>
    <row r="3" spans="1:11" ht="15.75">
      <c r="A3" s="428" t="s">
        <v>385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</row>
    <row r="4" spans="1:11">
      <c r="A4" s="3" t="s">
        <v>2</v>
      </c>
      <c r="B4" s="3" t="s">
        <v>3</v>
      </c>
      <c r="C4" s="29" t="s">
        <v>4</v>
      </c>
      <c r="D4" s="29" t="str">
        <f>'General Info'!D4</f>
        <v>FY 2008-2009</v>
      </c>
      <c r="E4" s="29" t="str">
        <f>'General Info'!E4</f>
        <v>FY 2009-2010</v>
      </c>
      <c r="F4" s="29" t="str">
        <f>'General Info'!F4</f>
        <v>FY 2010-2011</v>
      </c>
      <c r="G4" s="29" t="str">
        <f>'General Info'!G4</f>
        <v>FY 2011-2012</v>
      </c>
      <c r="H4" s="29" t="str">
        <f>'General Info'!H4</f>
        <v>FY 2012-2013</v>
      </c>
      <c r="I4" s="29" t="str">
        <f>'General Info'!I4</f>
        <v>FY 2013-2014</v>
      </c>
      <c r="J4" s="29" t="str">
        <f>'General Info'!J4</f>
        <v>FY 2014-2015</v>
      </c>
      <c r="K4" s="29" t="str">
        <f>'General Info'!K4</f>
        <v>FY 2015-2016</v>
      </c>
    </row>
    <row r="5" spans="1:11">
      <c r="A5" s="117">
        <v>1</v>
      </c>
      <c r="B5" s="146" t="s">
        <v>386</v>
      </c>
      <c r="C5" s="107"/>
      <c r="D5" s="58" t="e">
        <f>IF(OR(D12="nd",'General Info'!D10="nd",'General Info'!D25="nd"),"nd",D12*100/SUM('General Info'!D10,'General Info'!D25))</f>
        <v>#DIV/0!</v>
      </c>
      <c r="E5" s="58" t="e">
        <f>IF(OR(E12="nd",'General Info'!E10="nd",'General Info'!E25="nd"),"nd",E12*100/SUM('General Info'!E10,'General Info'!E25))</f>
        <v>#DIV/0!</v>
      </c>
      <c r="F5" s="58">
        <f>IF(OR(F12="nd",'General Info'!F10="nd",'General Info'!F25="nd"),"nd",F12*100/SUM('General Info'!F10,'General Info'!F25))</f>
        <v>28.768494031877637</v>
      </c>
      <c r="G5" s="58">
        <f>IF(OR(G12="nd",'General Info'!G10="nd",'General Info'!G25="nd"),"nd",G12*100/SUM('General Info'!G10,'General Info'!G25))</f>
        <v>30.81705388964815</v>
      </c>
      <c r="H5" s="58">
        <f>IF(OR(H12="nd",'General Info'!H10="nd",'General Info'!H25="nd"),"nd",H12*100/SUM('General Info'!H10,'General Info'!H25))</f>
        <v>33.553865109551616</v>
      </c>
      <c r="I5" s="58">
        <f>IF(OR(I12="nd",'General Info'!I10="nd",'General Info'!I25="nd"),"nd",I12*100/SUM('General Info'!I10,'General Info'!I25))</f>
        <v>36.683674777569806</v>
      </c>
      <c r="J5" s="58">
        <f>IF(OR(J12="nd",'General Info'!J10="nd",'General Info'!J25="nd"),"nd",J12*100/SUM('General Info'!J10,'General Info'!J25))</f>
        <v>37.95917336162902</v>
      </c>
      <c r="K5" s="58">
        <f>IF(OR(K12="nd",'General Info'!K10="nd",'General Info'!K25="nd"),"nd",K12*100/SUM('General Info'!K10,'General Info'!K25))</f>
        <v>39.710382921549602</v>
      </c>
    </row>
    <row r="6" spans="1:11">
      <c r="A6" s="147"/>
      <c r="B6" s="148" t="s">
        <v>387</v>
      </c>
      <c r="C6" s="149"/>
      <c r="D6" s="108"/>
      <c r="E6" s="108"/>
      <c r="F6" s="108"/>
      <c r="G6" s="108"/>
      <c r="H6" s="108"/>
      <c r="I6" s="108"/>
      <c r="J6" s="108"/>
      <c r="K6" s="108"/>
    </row>
    <row r="7" spans="1:11">
      <c r="A7" s="150">
        <v>1.1000000000000001</v>
      </c>
      <c r="B7" s="111" t="s">
        <v>388</v>
      </c>
      <c r="C7" s="10" t="s">
        <v>19</v>
      </c>
      <c r="D7" s="151"/>
      <c r="E7" s="151"/>
      <c r="F7" s="421">
        <v>8000</v>
      </c>
      <c r="G7" s="421">
        <v>11090</v>
      </c>
      <c r="H7" s="421">
        <v>12080</v>
      </c>
      <c r="I7" s="421">
        <v>13900</v>
      </c>
      <c r="J7" s="421">
        <v>14600</v>
      </c>
      <c r="K7" s="421">
        <v>15500</v>
      </c>
    </row>
    <row r="8" spans="1:11">
      <c r="A8" s="150">
        <v>1.2</v>
      </c>
      <c r="B8" s="111" t="s">
        <v>389</v>
      </c>
      <c r="C8" s="10" t="s">
        <v>19</v>
      </c>
      <c r="D8" s="151"/>
      <c r="E8" s="151"/>
      <c r="F8" s="421">
        <v>15</v>
      </c>
      <c r="G8" s="421">
        <v>330</v>
      </c>
      <c r="H8" s="421">
        <v>352</v>
      </c>
      <c r="I8" s="421">
        <v>400</v>
      </c>
      <c r="J8" s="421">
        <v>100</v>
      </c>
      <c r="K8" s="421">
        <v>110</v>
      </c>
    </row>
    <row r="9" spans="1:11" ht="25.5">
      <c r="A9" s="150">
        <v>1.3</v>
      </c>
      <c r="B9" s="152" t="s">
        <v>390</v>
      </c>
      <c r="C9" s="10" t="s">
        <v>19</v>
      </c>
      <c r="D9" s="151"/>
      <c r="E9" s="151"/>
      <c r="F9" s="421">
        <v>35</v>
      </c>
      <c r="G9" s="421">
        <v>0</v>
      </c>
      <c r="H9" s="421">
        <v>0</v>
      </c>
      <c r="I9" s="421">
        <v>0</v>
      </c>
      <c r="J9" s="421">
        <v>105</v>
      </c>
      <c r="K9" s="421">
        <v>120</v>
      </c>
    </row>
    <row r="10" spans="1:11" ht="25.5">
      <c r="A10" s="150">
        <v>1.4</v>
      </c>
      <c r="B10" s="152" t="s">
        <v>391</v>
      </c>
      <c r="C10" s="10" t="s">
        <v>19</v>
      </c>
      <c r="D10" s="151"/>
      <c r="E10" s="151"/>
      <c r="F10" s="151"/>
      <c r="G10" s="421">
        <v>80</v>
      </c>
      <c r="H10" s="421">
        <v>95</v>
      </c>
      <c r="I10" s="421">
        <v>7</v>
      </c>
      <c r="J10" s="421">
        <v>220</v>
      </c>
      <c r="K10" s="421">
        <v>230</v>
      </c>
    </row>
    <row r="11" spans="1:11" ht="25.5">
      <c r="A11" s="150">
        <v>1.5</v>
      </c>
      <c r="B11" s="152" t="s">
        <v>392</v>
      </c>
      <c r="C11" s="10" t="s">
        <v>19</v>
      </c>
      <c r="D11" s="151"/>
      <c r="E11" s="151"/>
      <c r="F11" s="151"/>
      <c r="G11" s="151"/>
      <c r="H11" s="151"/>
      <c r="I11" s="151"/>
      <c r="J11" s="421">
        <v>10</v>
      </c>
      <c r="K11" s="421">
        <v>10</v>
      </c>
    </row>
    <row r="12" spans="1:11" ht="25.5">
      <c r="A12" s="150"/>
      <c r="B12" s="153" t="s">
        <v>393</v>
      </c>
      <c r="C12" s="10" t="s">
        <v>19</v>
      </c>
      <c r="D12" s="154">
        <f>IF(D11="nd","nd",IF(AND(D7="nd",OR(D8="nd",D9="nd",D10="nd")),"nd",IF(SUM($D$8:$D$10)&gt;0,SUM($D$7:$D$10),SUM(D7,D11))))</f>
        <v>0</v>
      </c>
      <c r="E12" s="154">
        <f>IF(E11="nd","nd",IF(AND(E7="nd",OR(E8="nd",E9="nd",E10="nd")),"nd",IF(SUM($E$8:$E$10)&gt;0,SUM($E$7:$E$10),SUM(E7,E11))))</f>
        <v>0</v>
      </c>
      <c r="F12" s="154">
        <f>IF(F11="nd","nd",IF(AND(F7="nd",OR(F8="nd",F9="nd",F10="nd")),"nd",IF(SUM($F$8:$F$10)&gt;0,SUM($F$7:$F$10),SUM(F7,F11))))</f>
        <v>8050</v>
      </c>
      <c r="G12" s="154">
        <f>IF(G11="nd","nd",IF(AND(G7="nd",OR(G8="nd",G9="nd",G10="nd")),"nd",IF(SUM($G$8:$G$10)&gt;0,SUM($G$7:$G$10),SUM(G7,G11))))</f>
        <v>11500</v>
      </c>
      <c r="H12" s="154">
        <f>IF(H11="nd","nd",IF(AND(H7="nd",OR(H8="nd",H9="nd",H10="nd")),"nd",IF(SUM($H$8:$H$10)&gt;0,SUM($H$7:$H$10),SUM(H7,H11))))</f>
        <v>12527</v>
      </c>
      <c r="I12" s="154">
        <f>IF(I11="nd","nd",IF(AND(I7="nd",OR(I8="nd",I9="nd",I10="nd")),"nd",IF(SUM($I$8:$I$10)&gt;0,SUM($I$7:$I$10),SUM(I7,I11))))</f>
        <v>14307</v>
      </c>
      <c r="J12" s="154">
        <f>IF(J11="nd","nd",IF(AND(J7="nd",OR(J8="nd",J9="nd",J10="nd")),"nd",IF(SUM(J8:J10)&gt;0,SUM(J7:J10),SUM(J7,J11))))</f>
        <v>15025</v>
      </c>
      <c r="K12" s="154">
        <f>IF(K11="nd","nd",IF(AND(K7="nd",OR(K8="nd",K9="nd",K10="nd")),"nd",IF(SUM(K8:K10)&gt;0,SUM(K7:K10),SUM(K7,K11))))</f>
        <v>15960</v>
      </c>
    </row>
    <row r="14" spans="1:11">
      <c r="A14" s="117">
        <v>2</v>
      </c>
      <c r="B14" s="155" t="s">
        <v>394</v>
      </c>
      <c r="C14" s="107"/>
      <c r="D14" s="59" t="e">
        <f>IF(D27=0,IF(OR(D53="nd",D23="nd"),"nd",(D53*100/D23)),IF(OR(D27="nd",D23="nd"),"nd",(D27*100/D23)))</f>
        <v>#DIV/0!</v>
      </c>
      <c r="E14" s="59" t="e">
        <f t="shared" ref="E14:J14" si="0">IF(E27=0,IF(OR(E53="nd",E23="nd"),"nd",(E53*100/E23)),IF(OR(E27="nd",E23="nd"),"nd",(E27*100/E23)))</f>
        <v>#DIV/0!</v>
      </c>
      <c r="F14" s="59">
        <f t="shared" si="0"/>
        <v>86.956521739130437</v>
      </c>
      <c r="G14" s="59">
        <f t="shared" si="0"/>
        <v>2.5477707006369426</v>
      </c>
      <c r="H14" s="59">
        <f t="shared" si="0"/>
        <v>85.897141197962668</v>
      </c>
      <c r="I14" s="59">
        <f t="shared" si="0"/>
        <v>79.881656804733723</v>
      </c>
      <c r="J14" s="59">
        <f t="shared" si="0"/>
        <v>86.378737541528238</v>
      </c>
      <c r="K14" s="59">
        <f>IF(K27=0,IF(OR(K53="nd",K23="nd"),"nd",(K53*100/K23)),IF(OR(K27="nd",K23="nd"),"nd",(K27*100/K23)))</f>
        <v>86.378737541528238</v>
      </c>
    </row>
    <row r="15" spans="1:11">
      <c r="A15" s="156"/>
      <c r="B15" s="98" t="s">
        <v>395</v>
      </c>
      <c r="C15" s="45" t="s">
        <v>4</v>
      </c>
      <c r="D15" s="45" t="str">
        <f>'General Info'!D4</f>
        <v>FY 2008-2009</v>
      </c>
      <c r="E15" s="45" t="str">
        <f>'General Info'!E4</f>
        <v>FY 2009-2010</v>
      </c>
      <c r="F15" s="45" t="str">
        <f>'General Info'!F4</f>
        <v>FY 2010-2011</v>
      </c>
      <c r="G15" s="45" t="str">
        <f>'General Info'!G4</f>
        <v>FY 2011-2012</v>
      </c>
      <c r="H15" s="45" t="str">
        <f>'General Info'!H4</f>
        <v>FY 2012-2013</v>
      </c>
      <c r="I15" s="45" t="str">
        <f>'General Info'!I4</f>
        <v>FY 2013-2014</v>
      </c>
      <c r="J15" s="45" t="str">
        <f>'General Info'!J4</f>
        <v>FY 2014-2015</v>
      </c>
      <c r="K15" s="45" t="str">
        <f>'General Info'!K4</f>
        <v>FY 2015-2016</v>
      </c>
    </row>
    <row r="16" spans="1:11">
      <c r="A16" s="157">
        <v>2.1</v>
      </c>
      <c r="B16" s="111" t="s">
        <v>396</v>
      </c>
      <c r="C16" s="10" t="s">
        <v>397</v>
      </c>
      <c r="D16" s="112"/>
      <c r="E16" s="112"/>
      <c r="F16" s="422">
        <v>1200</v>
      </c>
      <c r="G16" s="422">
        <v>19.399999999999999</v>
      </c>
      <c r="H16" s="422">
        <v>992.82600000000002</v>
      </c>
      <c r="I16" s="422">
        <v>1500</v>
      </c>
      <c r="J16" s="422">
        <v>1550</v>
      </c>
      <c r="K16" s="422">
        <v>1550</v>
      </c>
    </row>
    <row r="17" spans="1:11">
      <c r="A17" s="157">
        <v>2.2000000000000002</v>
      </c>
      <c r="B17" s="111" t="s">
        <v>398</v>
      </c>
      <c r="C17" s="10" t="s">
        <v>397</v>
      </c>
      <c r="D17" s="112"/>
      <c r="E17" s="112"/>
      <c r="F17" s="422">
        <v>30</v>
      </c>
      <c r="G17" s="422">
        <v>22</v>
      </c>
      <c r="H17" s="422">
        <v>240</v>
      </c>
      <c r="I17" s="422">
        <v>100</v>
      </c>
      <c r="J17" s="422">
        <v>125</v>
      </c>
      <c r="K17" s="422">
        <v>125</v>
      </c>
    </row>
    <row r="18" spans="1:11">
      <c r="A18" s="157">
        <v>2.2999999999999998</v>
      </c>
      <c r="B18" s="111" t="s">
        <v>399</v>
      </c>
      <c r="C18" s="10" t="s">
        <v>397</v>
      </c>
      <c r="D18" s="112"/>
      <c r="E18" s="112"/>
      <c r="F18" s="422">
        <v>60</v>
      </c>
      <c r="G18" s="422">
        <v>7.5</v>
      </c>
      <c r="H18" s="422">
        <v>120</v>
      </c>
      <c r="I18" s="422">
        <v>60</v>
      </c>
      <c r="J18" s="422">
        <v>75</v>
      </c>
      <c r="K18" s="422">
        <v>75</v>
      </c>
    </row>
    <row r="19" spans="1:11">
      <c r="A19" s="157">
        <v>2.4</v>
      </c>
      <c r="B19" s="111" t="s">
        <v>400</v>
      </c>
      <c r="C19" s="10" t="s">
        <v>397</v>
      </c>
      <c r="D19" s="112"/>
      <c r="E19" s="112"/>
      <c r="F19" s="422">
        <v>60</v>
      </c>
      <c r="G19" s="422">
        <v>16.5</v>
      </c>
      <c r="H19" s="422">
        <v>90</v>
      </c>
      <c r="I19" s="422">
        <v>30</v>
      </c>
      <c r="J19" s="422">
        <v>45</v>
      </c>
      <c r="K19" s="422">
        <v>45</v>
      </c>
    </row>
    <row r="20" spans="1:11">
      <c r="A20" s="157">
        <v>2.5</v>
      </c>
      <c r="B20" s="111" t="s">
        <v>401</v>
      </c>
      <c r="C20" s="10" t="s">
        <v>397</v>
      </c>
      <c r="D20" s="112"/>
      <c r="E20" s="112"/>
      <c r="F20" s="422">
        <v>30</v>
      </c>
      <c r="G20" s="422">
        <v>9.5</v>
      </c>
      <c r="H20" s="422">
        <v>30</v>
      </c>
      <c r="I20" s="422">
        <v>0</v>
      </c>
      <c r="J20" s="422">
        <v>6</v>
      </c>
      <c r="K20" s="422">
        <v>6</v>
      </c>
    </row>
    <row r="21" spans="1:11">
      <c r="A21" s="157">
        <v>2.6</v>
      </c>
      <c r="B21" s="111" t="s">
        <v>402</v>
      </c>
      <c r="C21" s="10" t="s">
        <v>397</v>
      </c>
      <c r="D21" s="112"/>
      <c r="E21" s="112"/>
      <c r="F21" s="422">
        <v>0</v>
      </c>
      <c r="G21" s="422">
        <v>3.6</v>
      </c>
      <c r="H21" s="422">
        <v>15</v>
      </c>
      <c r="I21" s="422">
        <v>0</v>
      </c>
      <c r="J21" s="422">
        <v>5</v>
      </c>
      <c r="K21" s="422">
        <v>5</v>
      </c>
    </row>
    <row r="22" spans="1:11">
      <c r="A22" s="157">
        <v>2.7</v>
      </c>
      <c r="B22" s="111" t="s">
        <v>403</v>
      </c>
      <c r="C22" s="10" t="s">
        <v>397</v>
      </c>
      <c r="D22" s="112"/>
      <c r="E22" s="112"/>
      <c r="F22" s="112"/>
      <c r="G22" s="112"/>
      <c r="H22" s="112"/>
      <c r="I22" s="422">
        <v>0</v>
      </c>
      <c r="J22" s="422">
        <v>0</v>
      </c>
      <c r="K22" s="422">
        <v>0</v>
      </c>
    </row>
    <row r="23" spans="1:11">
      <c r="A23" s="157"/>
      <c r="B23" s="101" t="s">
        <v>404</v>
      </c>
      <c r="C23" s="10" t="s">
        <v>397</v>
      </c>
      <c r="D23" s="158">
        <f>IF(D22="nd","nd",IF(OR(D16="nd",D17="nd",D18="nd",D19="nd",D20="nd",D21="nd"),"nd",IF(SUM($D$16:$D$21)&gt;0,SUM($D$16:$D$21),D22)))</f>
        <v>0</v>
      </c>
      <c r="E23" s="158">
        <f>IF(E22="nd","nd",IF(OR(E16="nd",E17="nd",E18="nd",E19="nd",E20="nd",E21="nd"),"nd",IF(SUM(E16:E21)&gt;0,SUM(E16:E21),E22)))</f>
        <v>0</v>
      </c>
      <c r="F23" s="158">
        <f>IF(F22="nd","nd",IF(OR(F16="nd",F17="nd",F18="nd",F19="nd",F20="nd",F21="nd"),"nd",IF(SUM($F$16:$F$21)&gt;0,SUM($F$16:$F$21),F22)))</f>
        <v>1380</v>
      </c>
      <c r="G23" s="158">
        <f>IF(G22="nd","nd",IF(OR(G16="nd",G17="nd",G18="nd",G19="nd",G20="nd",G21="nd"),"nd",IF(SUM($G$16:$G$21)&gt;0,SUM($G$16:$G$21),G22)))</f>
        <v>78.5</v>
      </c>
      <c r="H23" s="158">
        <f>IF(H22="nd","nd",IF(OR(H16="nd",H17="nd",H18="nd",H19="nd",H20="nd",H21="nd"),"nd",IF(SUM($H$16:$H$21)&gt;0,SUM($H$16:$H$21),H22)))</f>
        <v>1487.826</v>
      </c>
      <c r="I23" s="158">
        <f>IF(I22="nd","nd",IF(OR(I16="nd",I17="nd",I18="nd",I19="nd",I20="nd",I21="nd"),"nd",IF(SUM($I$16:$I$21)&gt;0,SUM($I$16:$I$21),I22)))</f>
        <v>1690</v>
      </c>
      <c r="J23" s="158">
        <f>IF(J22="nd","nd",IF(OR(J16="nd",J17="nd",J18="nd",J19="nd",J20="nd",J21="nd"),"nd",IF(SUM(J16:J21)&gt;0,SUM(J16:J21),J22)))</f>
        <v>1806</v>
      </c>
      <c r="K23" s="158">
        <f>IF(K22="nd","nd",IF(OR(K16="nd",K17="nd",K18="nd",K19="nd",K20="nd",K21="nd"),"nd",IF(SUM(K16:K21)&gt;0,SUM(K16:K21),K22)))</f>
        <v>1806</v>
      </c>
    </row>
    <row r="24" spans="1:11">
      <c r="A24" s="147"/>
      <c r="B24" s="148" t="s">
        <v>405</v>
      </c>
      <c r="C24" s="149"/>
      <c r="D24" s="108"/>
      <c r="E24" s="108"/>
      <c r="F24" s="108"/>
      <c r="G24" s="108"/>
      <c r="H24" s="108"/>
      <c r="I24" s="108"/>
      <c r="J24" s="108"/>
      <c r="K24" s="108"/>
    </row>
    <row r="25" spans="1:11">
      <c r="A25" s="150">
        <v>2.8</v>
      </c>
      <c r="B25" s="111" t="s">
        <v>406</v>
      </c>
      <c r="C25" s="10" t="s">
        <v>397</v>
      </c>
      <c r="D25" s="112"/>
      <c r="E25" s="112"/>
      <c r="F25" s="112"/>
      <c r="G25" s="422">
        <v>0</v>
      </c>
      <c r="H25" s="422">
        <v>0</v>
      </c>
      <c r="I25" s="112"/>
      <c r="J25" s="422">
        <v>0</v>
      </c>
      <c r="K25" s="422">
        <v>0</v>
      </c>
    </row>
    <row r="26" spans="1:11">
      <c r="A26" s="150">
        <v>2.9</v>
      </c>
      <c r="B26" s="111" t="s">
        <v>407</v>
      </c>
      <c r="C26" s="10" t="s">
        <v>397</v>
      </c>
      <c r="D26" s="112"/>
      <c r="E26" s="112"/>
      <c r="F26" s="112"/>
      <c r="G26" s="422">
        <v>0</v>
      </c>
      <c r="H26" s="422">
        <v>1275</v>
      </c>
      <c r="I26" s="112"/>
      <c r="J26" s="422">
        <v>1557</v>
      </c>
      <c r="K26" s="422">
        <v>1557</v>
      </c>
    </row>
    <row r="27" spans="1:11">
      <c r="A27" s="150"/>
      <c r="B27" s="101" t="s">
        <v>408</v>
      </c>
      <c r="C27" s="10" t="s">
        <v>397</v>
      </c>
      <c r="D27" s="159">
        <f t="shared" ref="D27:I27" si="1">IF(OR(D25="nd",D26="nd",D58="nd",D75="nd"),"nd",IF(D75="na",SUM(D25,D26,IF(D58="NA",0,D58)),SUM(D25,D26,IF(D58="NA",0,D58))-D75))</f>
        <v>0</v>
      </c>
      <c r="E27" s="159">
        <f t="shared" si="1"/>
        <v>0</v>
      </c>
      <c r="F27" s="159">
        <f t="shared" si="1"/>
        <v>0</v>
      </c>
      <c r="G27" s="159">
        <f t="shared" si="1"/>
        <v>2</v>
      </c>
      <c r="H27" s="159">
        <f t="shared" si="1"/>
        <v>1278</v>
      </c>
      <c r="I27" s="159">
        <f t="shared" si="1"/>
        <v>0</v>
      </c>
      <c r="J27" s="159">
        <f>IF(OR(J25="nd",J26="nd",J58="nd",J75="nd"),"nd",IF(J75="na",SUM(J25,J26,J58),SUM(J25,J26,J58)-J75))</f>
        <v>1560</v>
      </c>
      <c r="K27" s="159">
        <f>IF(OR(K25="nd",K26="nd",K58="nd",K75="nd"),"nd",IF(K75="na",SUM(K25,K26,K58),SUM(K25,K26,K58)-K75))</f>
        <v>1560</v>
      </c>
    </row>
    <row r="28" spans="1:11">
      <c r="A28" s="160"/>
      <c r="B28" s="148" t="s">
        <v>409</v>
      </c>
      <c r="C28" s="161"/>
      <c r="D28" s="120"/>
      <c r="E28" s="120"/>
      <c r="F28" s="120"/>
      <c r="G28" s="120"/>
      <c r="H28" s="120"/>
      <c r="I28" s="120"/>
      <c r="J28" s="120"/>
      <c r="K28" s="120"/>
    </row>
    <row r="29" spans="1:11">
      <c r="A29" s="275">
        <v>2.1</v>
      </c>
      <c r="B29" s="111" t="s">
        <v>410</v>
      </c>
      <c r="C29" s="10" t="s">
        <v>19</v>
      </c>
      <c r="D29" s="151"/>
      <c r="E29" s="151"/>
      <c r="F29" s="151"/>
      <c r="G29" s="421">
        <v>0</v>
      </c>
      <c r="H29" s="421">
        <v>0</v>
      </c>
      <c r="I29" s="151"/>
      <c r="J29" s="421">
        <v>0</v>
      </c>
      <c r="K29" s="421">
        <v>0</v>
      </c>
    </row>
    <row r="30" spans="1:11">
      <c r="A30" s="150">
        <v>2.11</v>
      </c>
      <c r="B30" s="111" t="s">
        <v>411</v>
      </c>
      <c r="C30" s="10" t="s">
        <v>412</v>
      </c>
      <c r="D30" s="151"/>
      <c r="E30" s="151"/>
      <c r="F30" s="151"/>
      <c r="G30" s="422">
        <v>0</v>
      </c>
      <c r="H30" s="422">
        <v>0</v>
      </c>
      <c r="I30" s="151"/>
      <c r="J30" s="422">
        <v>0</v>
      </c>
      <c r="K30" s="422">
        <v>0</v>
      </c>
    </row>
    <row r="31" spans="1:11">
      <c r="A31" s="275">
        <v>2.12</v>
      </c>
      <c r="B31" s="111" t="s">
        <v>413</v>
      </c>
      <c r="C31" s="10" t="s">
        <v>414</v>
      </c>
      <c r="D31" s="151"/>
      <c r="E31" s="151"/>
      <c r="F31" s="151"/>
      <c r="G31" s="422">
        <v>0</v>
      </c>
      <c r="H31" s="422">
        <v>0</v>
      </c>
      <c r="I31" s="151"/>
      <c r="J31" s="422">
        <v>0</v>
      </c>
      <c r="K31" s="422">
        <v>0</v>
      </c>
    </row>
    <row r="32" spans="1:11">
      <c r="A32" s="150"/>
      <c r="B32" s="162" t="s">
        <v>415</v>
      </c>
      <c r="C32" s="10" t="s">
        <v>397</v>
      </c>
      <c r="D32" s="163">
        <f t="shared" ref="D32:I32" si="2">IF(OR(D29="na",D30="na",D31="na"),0,IF(OR(D29="nd",D30="nd",D31="nd"),"nd",D29*D30*D31*30))</f>
        <v>0</v>
      </c>
      <c r="E32" s="163">
        <f t="shared" si="2"/>
        <v>0</v>
      </c>
      <c r="F32" s="163">
        <f t="shared" si="2"/>
        <v>0</v>
      </c>
      <c r="G32" s="163">
        <f t="shared" si="2"/>
        <v>0</v>
      </c>
      <c r="H32" s="163">
        <f t="shared" si="2"/>
        <v>0</v>
      </c>
      <c r="I32" s="163">
        <f t="shared" si="2"/>
        <v>0</v>
      </c>
      <c r="J32" s="163">
        <f>IF(OR(J29="na",J30="na",J31="na"),0,IF(OR(J29="nd",J30="nd",J31="nd"),"nd",J29*J30*J31*30))</f>
        <v>0</v>
      </c>
      <c r="K32" s="163">
        <f>IF(OR(K29="na",K30="na",K31="na"),0,IF(OR(K29="nd",K30="nd",K31="nd"),"nd",K29*K30*K31*30))</f>
        <v>0</v>
      </c>
    </row>
    <row r="33" spans="1:11">
      <c r="A33" s="150">
        <v>2.13</v>
      </c>
      <c r="B33" s="111" t="s">
        <v>416</v>
      </c>
      <c r="C33" s="10" t="s">
        <v>19</v>
      </c>
      <c r="D33" s="151"/>
      <c r="E33" s="151"/>
      <c r="F33" s="151"/>
      <c r="G33" s="421">
        <v>1</v>
      </c>
      <c r="H33" s="421">
        <v>1</v>
      </c>
      <c r="I33" s="421">
        <v>1</v>
      </c>
      <c r="J33" s="421">
        <v>4</v>
      </c>
      <c r="K33" s="421">
        <v>4</v>
      </c>
    </row>
    <row r="34" spans="1:11">
      <c r="A34" s="150">
        <v>2.14</v>
      </c>
      <c r="B34" s="111" t="s">
        <v>417</v>
      </c>
      <c r="C34" s="10" t="s">
        <v>412</v>
      </c>
      <c r="D34" s="151"/>
      <c r="E34" s="151"/>
      <c r="F34" s="151"/>
      <c r="G34" s="422">
        <v>7.4999999999999997E-2</v>
      </c>
      <c r="H34" s="422">
        <v>4</v>
      </c>
      <c r="I34" s="422">
        <v>1</v>
      </c>
      <c r="J34" s="422">
        <v>3</v>
      </c>
      <c r="K34" s="422">
        <v>3</v>
      </c>
    </row>
    <row r="35" spans="1:11">
      <c r="A35" s="150">
        <v>2.15</v>
      </c>
      <c r="B35" s="111" t="s">
        <v>418</v>
      </c>
      <c r="C35" s="10" t="s">
        <v>414</v>
      </c>
      <c r="D35" s="151"/>
      <c r="E35" s="151"/>
      <c r="F35" s="151"/>
      <c r="G35" s="422">
        <v>3</v>
      </c>
      <c r="H35" s="422">
        <v>4</v>
      </c>
      <c r="I35" s="422">
        <v>3</v>
      </c>
      <c r="J35" s="422">
        <v>3</v>
      </c>
      <c r="K35" s="422">
        <v>3</v>
      </c>
    </row>
    <row r="36" spans="1:11">
      <c r="A36" s="150"/>
      <c r="B36" s="162" t="s">
        <v>419</v>
      </c>
      <c r="C36" s="10" t="s">
        <v>397</v>
      </c>
      <c r="D36" s="163">
        <f t="shared" ref="D36:I36" si="3">IF(OR(D33="na",D34="na",D35="na"),0,IF(OR(D33="nd",D34="nd",D35="nd"),"nd",D33*D34*D35*30))</f>
        <v>0</v>
      </c>
      <c r="E36" s="163">
        <f t="shared" si="3"/>
        <v>0</v>
      </c>
      <c r="F36" s="163">
        <f t="shared" si="3"/>
        <v>0</v>
      </c>
      <c r="G36" s="163">
        <f t="shared" si="3"/>
        <v>6.7499999999999991</v>
      </c>
      <c r="H36" s="163">
        <f t="shared" si="3"/>
        <v>480</v>
      </c>
      <c r="I36" s="163">
        <f t="shared" si="3"/>
        <v>90</v>
      </c>
      <c r="J36" s="163">
        <f>IF(OR(J33="na",J34="na",J35="na"),0,IF(OR(J33="nd",J34="nd",J35="nd"),"nd",J33*J34*J35*30))</f>
        <v>1080</v>
      </c>
      <c r="K36" s="163">
        <f>IF(OR(K33="na",K34="na",K35="na"),0,IF(OR(K33="nd",K34="nd",K35="nd"),"nd",K33*K34*K35*30))</f>
        <v>1080</v>
      </c>
    </row>
    <row r="37" spans="1:11">
      <c r="A37" s="150">
        <v>2.16</v>
      </c>
      <c r="B37" s="111" t="s">
        <v>420</v>
      </c>
      <c r="C37" s="10" t="s">
        <v>19</v>
      </c>
      <c r="D37" s="151"/>
      <c r="E37" s="151"/>
      <c r="F37" s="151"/>
      <c r="G37" s="421">
        <v>0</v>
      </c>
      <c r="H37" s="421">
        <v>0</v>
      </c>
      <c r="I37" s="151"/>
      <c r="J37" s="421">
        <v>0</v>
      </c>
      <c r="K37" s="421">
        <v>0</v>
      </c>
    </row>
    <row r="38" spans="1:11">
      <c r="A38" s="150">
        <v>2.17</v>
      </c>
      <c r="B38" s="111" t="s">
        <v>421</v>
      </c>
      <c r="C38" s="10" t="s">
        <v>412</v>
      </c>
      <c r="D38" s="151"/>
      <c r="E38" s="151"/>
      <c r="F38" s="151"/>
      <c r="G38" s="422">
        <v>0</v>
      </c>
      <c r="H38" s="422">
        <v>0</v>
      </c>
      <c r="I38" s="151"/>
      <c r="J38" s="422">
        <v>0</v>
      </c>
      <c r="K38" s="422">
        <v>0</v>
      </c>
    </row>
    <row r="39" spans="1:11">
      <c r="A39" s="150">
        <v>2.1800000000000002</v>
      </c>
      <c r="B39" s="111" t="s">
        <v>422</v>
      </c>
      <c r="C39" s="10" t="s">
        <v>414</v>
      </c>
      <c r="D39" s="151"/>
      <c r="E39" s="151"/>
      <c r="F39" s="151"/>
      <c r="G39" s="422">
        <v>0</v>
      </c>
      <c r="H39" s="422">
        <v>0</v>
      </c>
      <c r="I39" s="151"/>
      <c r="J39" s="422">
        <v>0</v>
      </c>
      <c r="K39" s="422">
        <v>0</v>
      </c>
    </row>
    <row r="40" spans="1:11">
      <c r="A40" s="150"/>
      <c r="B40" s="162" t="s">
        <v>423</v>
      </c>
      <c r="C40" s="10" t="s">
        <v>397</v>
      </c>
      <c r="D40" s="163">
        <f t="shared" ref="D40:I40" si="4">IF(OR(D37="na",D38="na",D39="na"),0,IF(OR(D37="nd",D38="nd",D39="nd"),"nd",D37*D38*D39*30))</f>
        <v>0</v>
      </c>
      <c r="E40" s="163">
        <f t="shared" si="4"/>
        <v>0</v>
      </c>
      <c r="F40" s="163">
        <f t="shared" si="4"/>
        <v>0</v>
      </c>
      <c r="G40" s="163">
        <f t="shared" si="4"/>
        <v>0</v>
      </c>
      <c r="H40" s="163">
        <f t="shared" si="4"/>
        <v>0</v>
      </c>
      <c r="I40" s="163">
        <f t="shared" si="4"/>
        <v>0</v>
      </c>
      <c r="J40" s="163">
        <f>IF(OR(J37="na",J38="na",J39="na"),0,IF(OR(J37="nd",J38="nd",J39="nd"),"nd",J37*J38*J39*30))</f>
        <v>0</v>
      </c>
      <c r="K40" s="163">
        <f>IF(OR(K37="na",K38="na",K39="na"),0,IF(OR(K37="nd",K38="nd",K39="nd"),"nd",K37*K38*K39*30))</f>
        <v>0</v>
      </c>
    </row>
    <row r="41" spans="1:11">
      <c r="A41" s="150">
        <v>2.19</v>
      </c>
      <c r="B41" s="111" t="s">
        <v>424</v>
      </c>
      <c r="C41" s="10" t="s">
        <v>19</v>
      </c>
      <c r="D41" s="151"/>
      <c r="E41" s="151"/>
      <c r="F41" s="421">
        <v>1</v>
      </c>
      <c r="G41" s="421">
        <v>1</v>
      </c>
      <c r="H41" s="421">
        <v>1</v>
      </c>
      <c r="I41" s="421">
        <v>1</v>
      </c>
      <c r="J41" s="421">
        <v>0</v>
      </c>
      <c r="K41" s="421">
        <v>0</v>
      </c>
    </row>
    <row r="42" spans="1:11">
      <c r="A42" s="275">
        <v>2.2000000000000002</v>
      </c>
      <c r="B42" s="111" t="s">
        <v>425</v>
      </c>
      <c r="C42" s="10" t="s">
        <v>412</v>
      </c>
      <c r="D42" s="151"/>
      <c r="E42" s="151"/>
      <c r="F42" s="422">
        <v>2</v>
      </c>
      <c r="G42" s="422">
        <v>0.1</v>
      </c>
      <c r="H42" s="422">
        <v>2</v>
      </c>
      <c r="I42" s="422">
        <v>1.5</v>
      </c>
      <c r="J42" s="422">
        <v>0</v>
      </c>
      <c r="K42" s="422">
        <v>0</v>
      </c>
    </row>
    <row r="43" spans="1:11">
      <c r="A43" s="150">
        <v>2.21</v>
      </c>
      <c r="B43" s="111" t="s">
        <v>426</v>
      </c>
      <c r="C43" s="10" t="s">
        <v>414</v>
      </c>
      <c r="D43" s="151"/>
      <c r="E43" s="151"/>
      <c r="F43" s="422">
        <v>5</v>
      </c>
      <c r="G43" s="422">
        <v>3</v>
      </c>
      <c r="H43" s="422">
        <v>3</v>
      </c>
      <c r="I43" s="422">
        <v>4</v>
      </c>
      <c r="J43" s="422">
        <v>0</v>
      </c>
      <c r="K43" s="422">
        <v>0</v>
      </c>
    </row>
    <row r="44" spans="1:11">
      <c r="A44" s="150"/>
      <c r="B44" s="162" t="s">
        <v>427</v>
      </c>
      <c r="C44" s="10" t="s">
        <v>397</v>
      </c>
      <c r="D44" s="163">
        <f t="shared" ref="D44:I44" si="5">IF(OR(D41="na",D42="na",D43="na"),0,IF(OR(D41="nd",D42="nd",D43="nd"),"nd",D41*D42*D43*30))</f>
        <v>0</v>
      </c>
      <c r="E44" s="163">
        <f t="shared" si="5"/>
        <v>0</v>
      </c>
      <c r="F44" s="163">
        <f t="shared" si="5"/>
        <v>300</v>
      </c>
      <c r="G44" s="163">
        <f t="shared" si="5"/>
        <v>9.0000000000000018</v>
      </c>
      <c r="H44" s="163">
        <f t="shared" si="5"/>
        <v>180</v>
      </c>
      <c r="I44" s="163">
        <f t="shared" si="5"/>
        <v>180</v>
      </c>
      <c r="J44" s="163">
        <f>IF(OR(J41="na",J42="na",J43="na"),0,IF(OR(J41="nd",J42="nd",J43="nd"),"nd",J41*J42*J43*30))</f>
        <v>0</v>
      </c>
      <c r="K44" s="163">
        <f>IF(OR(K41="na",K42="na",K43="na"),0,IF(OR(K41="nd",K42="nd",K43="nd"),"nd",K41*K42*K43*30))</f>
        <v>0</v>
      </c>
    </row>
    <row r="45" spans="1:11">
      <c r="A45" s="150">
        <v>2.2200000000000002</v>
      </c>
      <c r="B45" s="111" t="s">
        <v>428</v>
      </c>
      <c r="C45" s="10" t="s">
        <v>19</v>
      </c>
      <c r="D45" s="151"/>
      <c r="E45" s="151"/>
      <c r="F45" s="421">
        <v>2</v>
      </c>
      <c r="G45" s="421">
        <v>2</v>
      </c>
      <c r="H45" s="421">
        <v>2</v>
      </c>
      <c r="I45" s="421">
        <v>2</v>
      </c>
      <c r="J45" s="421">
        <v>2</v>
      </c>
      <c r="K45" s="421">
        <v>2</v>
      </c>
    </row>
    <row r="46" spans="1:11">
      <c r="A46" s="150">
        <v>2.23</v>
      </c>
      <c r="B46" s="111" t="s">
        <v>429</v>
      </c>
      <c r="C46" s="10" t="s">
        <v>412</v>
      </c>
      <c r="D46" s="151"/>
      <c r="E46" s="151"/>
      <c r="F46" s="422">
        <v>5</v>
      </c>
      <c r="G46" s="422">
        <v>0.3</v>
      </c>
      <c r="H46" s="422">
        <v>2</v>
      </c>
      <c r="I46" s="422">
        <v>4.5</v>
      </c>
      <c r="J46" s="422">
        <v>4</v>
      </c>
      <c r="K46" s="422">
        <v>4</v>
      </c>
    </row>
    <row r="47" spans="1:11">
      <c r="A47" s="150">
        <v>2.2400000000000002</v>
      </c>
      <c r="B47" s="111" t="s">
        <v>430</v>
      </c>
      <c r="C47" s="10" t="s">
        <v>414</v>
      </c>
      <c r="D47" s="151"/>
      <c r="E47" s="151"/>
      <c r="F47" s="422">
        <v>3</v>
      </c>
      <c r="G47" s="422">
        <v>3</v>
      </c>
      <c r="H47" s="422">
        <v>4</v>
      </c>
      <c r="I47" s="422">
        <v>4</v>
      </c>
      <c r="J47" s="422">
        <v>2</v>
      </c>
      <c r="K47" s="422">
        <v>2</v>
      </c>
    </row>
    <row r="48" spans="1:11">
      <c r="A48" s="150"/>
      <c r="B48" s="162" t="s">
        <v>431</v>
      </c>
      <c r="C48" s="10" t="s">
        <v>397</v>
      </c>
      <c r="D48" s="163">
        <f t="shared" ref="D48:I48" si="6">IF(OR(D45="na",D46="na",D47="na"),0,IF(OR(D45="nd",D46="nd",D47="nd"),"nd",D45*D46*D47*30))</f>
        <v>0</v>
      </c>
      <c r="E48" s="163">
        <f t="shared" si="6"/>
        <v>0</v>
      </c>
      <c r="F48" s="163">
        <f t="shared" si="6"/>
        <v>900</v>
      </c>
      <c r="G48" s="163">
        <f t="shared" si="6"/>
        <v>53.999999999999993</v>
      </c>
      <c r="H48" s="163">
        <f t="shared" si="6"/>
        <v>480</v>
      </c>
      <c r="I48" s="163">
        <f t="shared" si="6"/>
        <v>1080</v>
      </c>
      <c r="J48" s="163">
        <f>IF(OR(J45="na",J46="na",J47="na"),0,IF(OR(J45="nd",J46="nd",J47="nd"),"nd",J45*J46*J47*30))</f>
        <v>480</v>
      </c>
      <c r="K48" s="163">
        <f>IF(OR(K45="na",K46="na",K47="na"),0,IF(OR(K45="nd",K46="nd",K47="nd"),"nd",K45*K46*K47*30))</f>
        <v>480</v>
      </c>
    </row>
    <row r="49" spans="1:11">
      <c r="A49" s="150">
        <v>2.25</v>
      </c>
      <c r="B49" s="111" t="s">
        <v>432</v>
      </c>
      <c r="C49" s="10" t="s">
        <v>19</v>
      </c>
      <c r="D49" s="151"/>
      <c r="E49" s="151"/>
      <c r="F49" s="151"/>
      <c r="G49" s="421">
        <v>0</v>
      </c>
      <c r="H49" s="421">
        <v>0</v>
      </c>
      <c r="I49" s="151"/>
      <c r="J49" s="421">
        <v>0</v>
      </c>
      <c r="K49" s="421">
        <v>0</v>
      </c>
    </row>
    <row r="50" spans="1:11">
      <c r="A50" s="150">
        <v>2.2599999999999998</v>
      </c>
      <c r="B50" s="111" t="s">
        <v>433</v>
      </c>
      <c r="C50" s="10" t="s">
        <v>412</v>
      </c>
      <c r="D50" s="151"/>
      <c r="E50" s="151"/>
      <c r="F50" s="151"/>
      <c r="G50" s="422">
        <v>0</v>
      </c>
      <c r="H50" s="422">
        <v>0</v>
      </c>
      <c r="I50" s="151"/>
      <c r="J50" s="422">
        <v>0</v>
      </c>
      <c r="K50" s="422">
        <v>0</v>
      </c>
    </row>
    <row r="51" spans="1:11">
      <c r="A51" s="150">
        <v>2.27</v>
      </c>
      <c r="B51" s="111" t="s">
        <v>434</v>
      </c>
      <c r="C51" s="10" t="s">
        <v>414</v>
      </c>
      <c r="D51" s="151"/>
      <c r="E51" s="151"/>
      <c r="F51" s="151"/>
      <c r="G51" s="422">
        <v>0</v>
      </c>
      <c r="H51" s="422">
        <v>0</v>
      </c>
      <c r="I51" s="151"/>
      <c r="J51" s="422">
        <v>0</v>
      </c>
      <c r="K51" s="422">
        <v>0</v>
      </c>
    </row>
    <row r="52" spans="1:11">
      <c r="A52" s="150"/>
      <c r="B52" s="162" t="s">
        <v>435</v>
      </c>
      <c r="C52" s="10" t="s">
        <v>397</v>
      </c>
      <c r="D52" s="163">
        <f t="shared" ref="D52:I52" si="7">IF(OR(D49="na",D50="na",D51="na"),0,IF(OR(D49="nd",D50="nd",D51="nd"),"nd",D49*D50*D51*30))</f>
        <v>0</v>
      </c>
      <c r="E52" s="163">
        <f t="shared" si="7"/>
        <v>0</v>
      </c>
      <c r="F52" s="163">
        <f t="shared" si="7"/>
        <v>0</v>
      </c>
      <c r="G52" s="163">
        <f t="shared" si="7"/>
        <v>0</v>
      </c>
      <c r="H52" s="163">
        <f t="shared" si="7"/>
        <v>0</v>
      </c>
      <c r="I52" s="163">
        <f t="shared" si="7"/>
        <v>0</v>
      </c>
      <c r="J52" s="163">
        <f>IF(OR(J49="na",J50="na",J51="na"),0,IF(OR(J49="nd",J50="nd",J51="nd"),"nd",J49*J50*J51*30))</f>
        <v>0</v>
      </c>
      <c r="K52" s="163">
        <f>IF(OR(K49="na",K50="na",K51="na"),0,IF(OR(K49="nd",K50="nd",K51="nd"),"nd",K49*K50*K51*30))</f>
        <v>0</v>
      </c>
    </row>
    <row r="53" spans="1:11">
      <c r="A53" s="150"/>
      <c r="B53" s="101" t="s">
        <v>436</v>
      </c>
      <c r="C53" s="10" t="s">
        <v>397</v>
      </c>
      <c r="D53" s="154">
        <f t="shared" ref="D53:I53" si="8">IF(OR(D32="nd",D36="nd",D40="nd",D44="nd",D48="nd",D52="nd"),"nd",SUM(D32,D36,D40,D44,D48,D52))</f>
        <v>0</v>
      </c>
      <c r="E53" s="154">
        <f t="shared" si="8"/>
        <v>0</v>
      </c>
      <c r="F53" s="154">
        <f t="shared" si="8"/>
        <v>1200</v>
      </c>
      <c r="G53" s="154">
        <f t="shared" si="8"/>
        <v>69.75</v>
      </c>
      <c r="H53" s="154">
        <f t="shared" si="8"/>
        <v>1140</v>
      </c>
      <c r="I53" s="154">
        <f t="shared" si="8"/>
        <v>1350</v>
      </c>
      <c r="J53" s="154">
        <f>IF(OR(J32="nd",J36="nd",J40="nd",J44="nd",J48="nd",J52="nd"),"nd",SUM(J32,J36,J40,J44,J48,J52))</f>
        <v>1560</v>
      </c>
      <c r="K53" s="154">
        <f>IF(OR(K32="nd",K36="nd",K40="nd",K44="nd",K48="nd",K52="nd"),"nd",SUM(K32,K36,K40,K44,K48,K52))</f>
        <v>1560</v>
      </c>
    </row>
    <row r="55" spans="1:11">
      <c r="A55" s="117">
        <v>3</v>
      </c>
      <c r="B55" s="114" t="s">
        <v>437</v>
      </c>
      <c r="C55" s="107"/>
      <c r="D55" s="95" t="e">
        <f>((D57+D58)/IF(D81=0,D53,D81))*100</f>
        <v>#DIV/0!</v>
      </c>
      <c r="E55" s="95" t="e">
        <f t="shared" ref="E55:J55" si="9">IF(E57="na","na",IF(OR(E57="nd",E58="nd"),"nd",IF(OR(E81="nd",E81=0),IF(E53="nd","nd",SUM(E57,E58)/E53*100),SUM(E57,E58)/E81*100)))</f>
        <v>#DIV/0!</v>
      </c>
      <c r="F55" s="95">
        <f t="shared" si="9"/>
        <v>0</v>
      </c>
      <c r="G55" s="95">
        <f t="shared" si="9"/>
        <v>0.16722408026755853</v>
      </c>
      <c r="H55" s="95">
        <f t="shared" si="9"/>
        <v>0.23529411764705879</v>
      </c>
      <c r="I55" s="95">
        <f t="shared" si="9"/>
        <v>0</v>
      </c>
      <c r="J55" s="95">
        <f t="shared" si="9"/>
        <v>0.19267822736030829</v>
      </c>
      <c r="K55" s="95">
        <f>IF(K57="na","na",IF(OR(K57="nd",K58="nd"),"nd",IF(OR(K81="nd",K81=0),IF(K53="nd","nd",SUM(K57,K58)/K53*100),SUM(K57,K58)/K81*100)))</f>
        <v>0.19267822736030829</v>
      </c>
    </row>
    <row r="56" spans="1:11">
      <c r="A56" s="147"/>
      <c r="B56" s="148" t="s">
        <v>438</v>
      </c>
      <c r="C56" s="45" t="s">
        <v>4</v>
      </c>
      <c r="D56" s="45" t="str">
        <f>'General Info'!D4</f>
        <v>FY 2008-2009</v>
      </c>
      <c r="E56" s="45" t="str">
        <f>'General Info'!E4</f>
        <v>FY 2009-2010</v>
      </c>
      <c r="F56" s="45" t="str">
        <f>'General Info'!F4</f>
        <v>FY 2010-2011</v>
      </c>
      <c r="G56" s="45" t="str">
        <f>'General Info'!G4</f>
        <v>FY 2011-2012</v>
      </c>
      <c r="H56" s="45" t="str">
        <f>'General Info'!H4</f>
        <v>FY 2012-2013</v>
      </c>
      <c r="I56" s="45" t="str">
        <f>'General Info'!I4</f>
        <v>FY 2013-2014</v>
      </c>
      <c r="J56" s="45" t="str">
        <f>'General Info'!J4</f>
        <v>FY 2014-2015</v>
      </c>
      <c r="K56" s="45" t="str">
        <f>'General Info'!K4</f>
        <v>FY 2015-2016</v>
      </c>
    </row>
    <row r="57" spans="1:11">
      <c r="A57" s="150">
        <v>3.1</v>
      </c>
      <c r="B57" s="164" t="s">
        <v>439</v>
      </c>
      <c r="C57" s="10" t="s">
        <v>397</v>
      </c>
      <c r="D57" s="165"/>
      <c r="E57" s="166"/>
      <c r="F57" s="166"/>
      <c r="G57" s="422">
        <v>0</v>
      </c>
      <c r="H57" s="422">
        <v>0</v>
      </c>
      <c r="I57" s="166"/>
      <c r="J57" s="422">
        <v>0</v>
      </c>
      <c r="K57" s="422">
        <v>0</v>
      </c>
    </row>
    <row r="58" spans="1:11">
      <c r="A58" s="150">
        <v>3.2</v>
      </c>
      <c r="B58" s="164" t="s">
        <v>440</v>
      </c>
      <c r="C58" s="10" t="s">
        <v>397</v>
      </c>
      <c r="D58" s="165"/>
      <c r="E58" s="166"/>
      <c r="F58" s="166"/>
      <c r="G58" s="422">
        <v>2</v>
      </c>
      <c r="H58" s="422">
        <v>3</v>
      </c>
      <c r="I58" s="166"/>
      <c r="J58" s="422">
        <v>3</v>
      </c>
      <c r="K58" s="422">
        <v>3</v>
      </c>
    </row>
    <row r="59" spans="1:11">
      <c r="A59" s="438"/>
      <c r="B59" s="438"/>
      <c r="C59" s="438"/>
      <c r="D59" s="438"/>
      <c r="E59" s="438"/>
      <c r="F59" s="167"/>
      <c r="G59" s="167"/>
      <c r="H59" s="167"/>
      <c r="I59" s="167"/>
      <c r="J59" s="167"/>
      <c r="K59" s="167"/>
    </row>
    <row r="60" spans="1:11">
      <c r="A60" s="117">
        <v>4</v>
      </c>
      <c r="B60" s="114" t="s">
        <v>441</v>
      </c>
      <c r="C60" s="107"/>
      <c r="D60" s="95" t="e">
        <f t="shared" ref="D60:I60" si="10">IF(D76="na","na",IF(D27="nd",IF(D53="nd","nd",D76/D53*100),D76/D27*100))</f>
        <v>#DIV/0!</v>
      </c>
      <c r="E60" s="95" t="e">
        <f t="shared" si="10"/>
        <v>#DIV/0!</v>
      </c>
      <c r="F60" s="95" t="e">
        <f t="shared" si="10"/>
        <v>#DIV/0!</v>
      </c>
      <c r="G60" s="95">
        <f t="shared" si="10"/>
        <v>100</v>
      </c>
      <c r="H60" s="95">
        <f t="shared" si="10"/>
        <v>0.23474178403755869</v>
      </c>
      <c r="I60" s="95" t="e">
        <f t="shared" si="10"/>
        <v>#DIV/0!</v>
      </c>
      <c r="J60" s="95">
        <f>IF(J76="na","na",IF(J27="nd",IF(J53="nd","nd",J76/J53*100),J76/J27*100))</f>
        <v>0.19230769230769232</v>
      </c>
      <c r="K60" s="95" t="str">
        <f>IF(K76="na","na",IF(K27="nd",IF(K53="nd","nd",K76/K53*100),K76/K27*100))</f>
        <v>na</v>
      </c>
    </row>
    <row r="61" spans="1:11">
      <c r="A61" s="147"/>
      <c r="B61" s="148" t="s">
        <v>442</v>
      </c>
      <c r="C61" s="45" t="s">
        <v>4</v>
      </c>
      <c r="D61" s="45" t="str">
        <f>'General Info'!D4</f>
        <v>FY 2008-2009</v>
      </c>
      <c r="E61" s="45" t="str">
        <f>'General Info'!E4</f>
        <v>FY 2009-2010</v>
      </c>
      <c r="F61" s="45" t="str">
        <f>'General Info'!F4</f>
        <v>FY 2010-2011</v>
      </c>
      <c r="G61" s="45" t="str">
        <f>'General Info'!G4</f>
        <v>FY 2011-2012</v>
      </c>
      <c r="H61" s="45" t="str">
        <f>'General Info'!H4</f>
        <v>FY 2012-2013</v>
      </c>
      <c r="I61" s="45" t="str">
        <f>'General Info'!I4</f>
        <v>FY 2013-2014</v>
      </c>
      <c r="J61" s="45" t="str">
        <f>'General Info'!J4</f>
        <v>FY 2014-2015</v>
      </c>
      <c r="K61" s="45" t="str">
        <f>'General Info'!K4</f>
        <v>FY 2015-2016</v>
      </c>
    </row>
    <row r="62" spans="1:11">
      <c r="A62" s="150">
        <v>4.0999999999999996</v>
      </c>
      <c r="B62" s="111" t="s">
        <v>443</v>
      </c>
      <c r="C62" s="10" t="s">
        <v>397</v>
      </c>
      <c r="D62" s="151"/>
      <c r="E62" s="151"/>
      <c r="F62" s="151"/>
      <c r="G62" s="422">
        <v>0</v>
      </c>
      <c r="H62" s="422">
        <v>0</v>
      </c>
      <c r="I62" s="151"/>
      <c r="J62" s="422">
        <v>0</v>
      </c>
      <c r="K62" s="422" t="s">
        <v>961</v>
      </c>
    </row>
    <row r="63" spans="1:11">
      <c r="A63" s="150">
        <v>4.2</v>
      </c>
      <c r="B63" s="111" t="s">
        <v>444</v>
      </c>
      <c r="C63" s="10" t="s">
        <v>397</v>
      </c>
      <c r="D63" s="151"/>
      <c r="E63" s="151"/>
      <c r="F63" s="151"/>
      <c r="G63" s="422">
        <v>0</v>
      </c>
      <c r="H63" s="422">
        <v>0</v>
      </c>
      <c r="I63" s="151"/>
      <c r="J63" s="422">
        <v>0</v>
      </c>
      <c r="K63" s="422" t="s">
        <v>961</v>
      </c>
    </row>
    <row r="64" spans="1:11">
      <c r="A64" s="150">
        <v>4.3</v>
      </c>
      <c r="B64" s="111" t="s">
        <v>445</v>
      </c>
      <c r="C64" s="10" t="s">
        <v>397</v>
      </c>
      <c r="D64" s="151"/>
      <c r="E64" s="151"/>
      <c r="F64" s="151"/>
      <c r="G64" s="422">
        <v>0</v>
      </c>
      <c r="H64" s="422">
        <v>0</v>
      </c>
      <c r="I64" s="151"/>
      <c r="J64" s="422">
        <v>0</v>
      </c>
      <c r="K64" s="422" t="s">
        <v>961</v>
      </c>
    </row>
    <row r="65" spans="1:11">
      <c r="A65" s="150">
        <v>4.4000000000000004</v>
      </c>
      <c r="B65" s="111" t="s">
        <v>446</v>
      </c>
      <c r="C65" s="10" t="s">
        <v>397</v>
      </c>
      <c r="D65" s="151"/>
      <c r="E65" s="151"/>
      <c r="F65" s="151"/>
      <c r="G65" s="422">
        <v>0</v>
      </c>
      <c r="H65" s="422">
        <v>0</v>
      </c>
      <c r="I65" s="151"/>
      <c r="J65" s="422">
        <v>0</v>
      </c>
      <c r="K65" s="422" t="s">
        <v>961</v>
      </c>
    </row>
    <row r="66" spans="1:11">
      <c r="A66" s="150">
        <v>4.5</v>
      </c>
      <c r="B66" s="111" t="s">
        <v>447</v>
      </c>
      <c r="C66" s="10" t="s">
        <v>397</v>
      </c>
      <c r="D66" s="151"/>
      <c r="E66" s="151"/>
      <c r="F66" s="151"/>
      <c r="G66" s="422">
        <v>0</v>
      </c>
      <c r="H66" s="422">
        <v>0</v>
      </c>
      <c r="I66" s="151"/>
      <c r="J66" s="422">
        <v>0</v>
      </c>
      <c r="K66" s="422" t="s">
        <v>961</v>
      </c>
    </row>
    <row r="67" spans="1:11">
      <c r="A67" s="150">
        <v>4.5999999999999996</v>
      </c>
      <c r="B67" s="111" t="s">
        <v>448</v>
      </c>
      <c r="C67" s="10" t="s">
        <v>397</v>
      </c>
      <c r="D67" s="151"/>
      <c r="E67" s="151"/>
      <c r="F67" s="151"/>
      <c r="G67" s="422">
        <v>0</v>
      </c>
      <c r="H67" s="422">
        <v>0</v>
      </c>
      <c r="I67" s="151"/>
      <c r="J67" s="422">
        <v>0</v>
      </c>
      <c r="K67" s="422" t="s">
        <v>961</v>
      </c>
    </row>
    <row r="68" spans="1:11">
      <c r="A68" s="150">
        <v>4.7</v>
      </c>
      <c r="B68" s="111" t="s">
        <v>449</v>
      </c>
      <c r="C68" s="10" t="s">
        <v>397</v>
      </c>
      <c r="D68" s="151"/>
      <c r="E68" s="151"/>
      <c r="F68" s="151"/>
      <c r="G68" s="422">
        <v>0</v>
      </c>
      <c r="H68" s="422">
        <v>0</v>
      </c>
      <c r="I68" s="151"/>
      <c r="J68" s="422">
        <v>0</v>
      </c>
      <c r="K68" s="422" t="s">
        <v>961</v>
      </c>
    </row>
    <row r="69" spans="1:11">
      <c r="A69" s="150">
        <v>4.8</v>
      </c>
      <c r="B69" s="111" t="s">
        <v>450</v>
      </c>
      <c r="C69" s="10" t="s">
        <v>397</v>
      </c>
      <c r="D69" s="151"/>
      <c r="E69" s="151"/>
      <c r="F69" s="151"/>
      <c r="G69" s="422">
        <v>0</v>
      </c>
      <c r="H69" s="422">
        <v>0</v>
      </c>
      <c r="I69" s="151"/>
      <c r="J69" s="422">
        <v>0</v>
      </c>
      <c r="K69" s="422" t="s">
        <v>961</v>
      </c>
    </row>
    <row r="70" spans="1:11">
      <c r="A70" s="150">
        <v>4.9000000000000004</v>
      </c>
      <c r="B70" s="111" t="s">
        <v>451</v>
      </c>
      <c r="C70" s="10" t="s">
        <v>397</v>
      </c>
      <c r="D70" s="151"/>
      <c r="E70" s="151"/>
      <c r="F70" s="151"/>
      <c r="G70" s="422">
        <v>0</v>
      </c>
      <c r="H70" s="422">
        <v>0</v>
      </c>
      <c r="I70" s="151"/>
      <c r="J70" s="422">
        <v>0</v>
      </c>
      <c r="K70" s="422" t="s">
        <v>961</v>
      </c>
    </row>
    <row r="71" spans="1:11">
      <c r="A71" s="275">
        <v>4.0999999999999996</v>
      </c>
      <c r="B71" s="111" t="s">
        <v>452</v>
      </c>
      <c r="C71" s="10" t="s">
        <v>397</v>
      </c>
      <c r="D71" s="151"/>
      <c r="E71" s="151"/>
      <c r="F71" s="151"/>
      <c r="G71" s="422">
        <v>0</v>
      </c>
      <c r="H71" s="422">
        <v>0</v>
      </c>
      <c r="I71" s="151"/>
      <c r="J71" s="422">
        <v>0</v>
      </c>
      <c r="K71" s="422" t="s">
        <v>961</v>
      </c>
    </row>
    <row r="72" spans="1:11">
      <c r="A72" s="150"/>
      <c r="B72" s="101" t="s">
        <v>453</v>
      </c>
      <c r="C72" s="10" t="s">
        <v>397</v>
      </c>
      <c r="D72" s="154">
        <f t="shared" ref="D72:H73" si="11">IF(AND(D62="na",D64="na",D66="na",D68="na",D70="na"),"na",IF(OR(D62="nd",D64="nd",D66="nd",D68="nd",D70="nd"),"nd",SUM(D62,D64,D66,D68,D70)))</f>
        <v>0</v>
      </c>
      <c r="E72" s="154">
        <f t="shared" si="11"/>
        <v>0</v>
      </c>
      <c r="F72" s="154">
        <f t="shared" si="11"/>
        <v>0</v>
      </c>
      <c r="G72" s="154">
        <f t="shared" si="11"/>
        <v>0</v>
      </c>
      <c r="H72" s="154">
        <f t="shared" si="11"/>
        <v>0</v>
      </c>
      <c r="I72" s="154">
        <f t="shared" ref="I72:K73" si="12">IF(AND(I62="na",I64="na",I66="na",I68="na",I70="na"),"na",IF(OR(I62="nd",I64="nd",I66="nd",I68="nd",I70="nd"),"nd",SUM(I62,I64,I66,I68,I70)))</f>
        <v>0</v>
      </c>
      <c r="J72" s="154">
        <f t="shared" si="12"/>
        <v>0</v>
      </c>
      <c r="K72" s="154" t="str">
        <f t="shared" si="12"/>
        <v>na</v>
      </c>
    </row>
    <row r="73" spans="1:11">
      <c r="A73" s="150"/>
      <c r="B73" s="101" t="s">
        <v>454</v>
      </c>
      <c r="C73" s="10" t="s">
        <v>397</v>
      </c>
      <c r="D73" s="154">
        <f t="shared" si="11"/>
        <v>0</v>
      </c>
      <c r="E73" s="154">
        <f t="shared" si="11"/>
        <v>0</v>
      </c>
      <c r="F73" s="154">
        <f t="shared" si="11"/>
        <v>0</v>
      </c>
      <c r="G73" s="154">
        <f t="shared" si="11"/>
        <v>0</v>
      </c>
      <c r="H73" s="154">
        <f t="shared" si="11"/>
        <v>0</v>
      </c>
      <c r="I73" s="154">
        <f t="shared" si="12"/>
        <v>0</v>
      </c>
      <c r="J73" s="154">
        <f t="shared" si="12"/>
        <v>0</v>
      </c>
      <c r="K73" s="154" t="str">
        <f t="shared" si="12"/>
        <v>na</v>
      </c>
    </row>
    <row r="74" spans="1:11">
      <c r="A74" s="150">
        <v>4.1100000000000003</v>
      </c>
      <c r="B74" s="111" t="s">
        <v>455</v>
      </c>
      <c r="C74" s="10" t="s">
        <v>397</v>
      </c>
      <c r="D74" s="151"/>
      <c r="E74" s="166"/>
      <c r="F74" s="166"/>
      <c r="G74" s="422">
        <v>0</v>
      </c>
      <c r="H74" s="422">
        <v>0</v>
      </c>
      <c r="I74" s="166"/>
      <c r="J74" s="422">
        <v>0</v>
      </c>
      <c r="K74" s="422">
        <v>0</v>
      </c>
    </row>
    <row r="75" spans="1:11">
      <c r="A75" s="150">
        <v>4.12</v>
      </c>
      <c r="B75" s="111" t="s">
        <v>456</v>
      </c>
      <c r="C75" s="10" t="s">
        <v>397</v>
      </c>
      <c r="D75" s="151"/>
      <c r="E75" s="166"/>
      <c r="F75" s="166"/>
      <c r="G75" s="422">
        <v>0</v>
      </c>
      <c r="H75" s="422">
        <v>0</v>
      </c>
      <c r="I75" s="166"/>
      <c r="J75" s="422">
        <v>0</v>
      </c>
      <c r="K75" s="422">
        <v>0</v>
      </c>
    </row>
    <row r="76" spans="1:11">
      <c r="A76" s="150"/>
      <c r="B76" s="101" t="s">
        <v>457</v>
      </c>
      <c r="C76" s="10" t="s">
        <v>397</v>
      </c>
      <c r="D76" s="154">
        <f t="shared" ref="D76:I76" si="13">IF(D73="na","na",IF(D73&lt;D72,IF(OR(D73="nd",D58="nd",D74="nd"),"nd",SUM(D73,D58)-D74),IF(D72="na","na",IF(OR(D72="nd",D58="nd",D74="nd"),"nd",SUM(D72,D58)-D74))))</f>
        <v>0</v>
      </c>
      <c r="E76" s="154">
        <f t="shared" si="13"/>
        <v>0</v>
      </c>
      <c r="F76" s="154">
        <f t="shared" si="13"/>
        <v>0</v>
      </c>
      <c r="G76" s="154">
        <f t="shared" si="13"/>
        <v>2</v>
      </c>
      <c r="H76" s="154">
        <f t="shared" si="13"/>
        <v>3</v>
      </c>
      <c r="I76" s="154">
        <f t="shared" si="13"/>
        <v>0</v>
      </c>
      <c r="J76" s="154">
        <f>IF(J73="na","na",IF(J73&lt;J72,IF(OR(J73="nd",J58="nd",J74="nd"),"nd",SUM(J73,J58)-J74),IF(J72="na","na",IF(OR(J72="nd",J58="nd",J74="nd"),"nd",SUM(J72,J58)-J74))))</f>
        <v>3</v>
      </c>
      <c r="K76" s="154" t="str">
        <f>IF(K73="na","na",IF(K73&lt;K72,IF(OR(K73="nd",K58="nd",K74="nd"),"nd",SUM(K73,K58)-K74),IF(K72="na","na",IF(OR(K72="nd",K58="nd",K74="nd"),"nd",SUM(K72,K58)-K74))))</f>
        <v>na</v>
      </c>
    </row>
    <row r="78" spans="1:11">
      <c r="A78" s="117">
        <v>5</v>
      </c>
      <c r="B78" s="114" t="s">
        <v>458</v>
      </c>
      <c r="C78" s="107"/>
      <c r="D78" s="168" t="e">
        <f t="shared" ref="D78:I78" si="14">IF(D80="na","na",IF(OR(D80="nd",D81="nd"),"nd",D80*100/SUM(D80,D81)))</f>
        <v>#DIV/0!</v>
      </c>
      <c r="E78" s="168" t="e">
        <f t="shared" si="14"/>
        <v>#DIV/0!</v>
      </c>
      <c r="F78" s="168" t="e">
        <f t="shared" si="14"/>
        <v>#DIV/0!</v>
      </c>
      <c r="G78" s="168">
        <f t="shared" si="14"/>
        <v>0</v>
      </c>
      <c r="H78" s="168">
        <f t="shared" si="14"/>
        <v>0</v>
      </c>
      <c r="I78" s="168">
        <f t="shared" si="14"/>
        <v>0</v>
      </c>
      <c r="J78" s="168" t="str">
        <f>IF(J80="na","na",IF(OR(J80="nd",J81="nd"),"nd",J80*100/SUM(J80,J81)))</f>
        <v>na</v>
      </c>
      <c r="K78" s="168" t="str">
        <f>IF(K80="na","na",IF(OR(K80="nd",K81="nd"),"nd",K80*100/SUM(K80,K81)))</f>
        <v>na</v>
      </c>
    </row>
    <row r="79" spans="1:11">
      <c r="A79" s="147"/>
      <c r="B79" s="148" t="s">
        <v>459</v>
      </c>
      <c r="C79" s="45" t="s">
        <v>4</v>
      </c>
      <c r="D79" s="45" t="str">
        <f>'General Info'!D4</f>
        <v>FY 2008-2009</v>
      </c>
      <c r="E79" s="45" t="str">
        <f>'General Info'!E4</f>
        <v>FY 2009-2010</v>
      </c>
      <c r="F79" s="45" t="str">
        <f>'General Info'!F4</f>
        <v>FY 2010-2011</v>
      </c>
      <c r="G79" s="45" t="str">
        <f>'General Info'!G4</f>
        <v>FY 2011-2012</v>
      </c>
      <c r="H79" s="45" t="str">
        <f>'General Info'!H4</f>
        <v>FY 2012-2013</v>
      </c>
      <c r="I79" s="45" t="str">
        <f>'General Info'!I4</f>
        <v>FY 2013-2014</v>
      </c>
      <c r="J79" s="45" t="str">
        <f>'General Info'!J4</f>
        <v>FY 2014-2015</v>
      </c>
      <c r="K79" s="45" t="str">
        <f>'General Info'!K4</f>
        <v>FY 2015-2016</v>
      </c>
    </row>
    <row r="80" spans="1:11">
      <c r="A80" s="150">
        <v>5.0999999999999996</v>
      </c>
      <c r="B80" s="111" t="s">
        <v>460</v>
      </c>
      <c r="C80" s="10" t="s">
        <v>397</v>
      </c>
      <c r="D80" s="151"/>
      <c r="E80" s="151"/>
      <c r="F80" s="151"/>
      <c r="G80" s="422">
        <v>0</v>
      </c>
      <c r="H80" s="422">
        <v>0</v>
      </c>
      <c r="I80" s="422">
        <v>0</v>
      </c>
      <c r="J80" s="422" t="s">
        <v>961</v>
      </c>
      <c r="K80" s="422" t="s">
        <v>961</v>
      </c>
    </row>
    <row r="81" spans="1:11">
      <c r="A81" s="150">
        <v>5.2</v>
      </c>
      <c r="B81" s="111" t="s">
        <v>461</v>
      </c>
      <c r="C81" s="10" t="s">
        <v>397</v>
      </c>
      <c r="D81" s="151"/>
      <c r="E81" s="151"/>
      <c r="F81" s="151"/>
      <c r="G81" s="422">
        <v>1196</v>
      </c>
      <c r="H81" s="422">
        <v>1275</v>
      </c>
      <c r="I81" s="422">
        <v>1350</v>
      </c>
      <c r="J81" s="422">
        <v>1557</v>
      </c>
      <c r="K81" s="422">
        <v>1557</v>
      </c>
    </row>
    <row r="82" spans="1:11">
      <c r="A82" s="438"/>
      <c r="B82" s="438"/>
      <c r="C82" s="438"/>
      <c r="D82" s="438"/>
      <c r="E82" s="438"/>
      <c r="F82" s="167"/>
      <c r="G82" s="167"/>
      <c r="H82" s="167"/>
      <c r="I82" s="167"/>
      <c r="J82" s="167"/>
      <c r="K82" s="167"/>
    </row>
    <row r="83" spans="1:11">
      <c r="A83" s="117">
        <v>6</v>
      </c>
      <c r="B83" s="114" t="s">
        <v>310</v>
      </c>
      <c r="C83" s="107"/>
      <c r="D83" s="168" t="e">
        <f t="shared" ref="D83:I83" si="15">IF(OR(D85="na",D86="na"),"na",IF(OR(D85="nd",D86="nd"),"nd",D86*100/D85))</f>
        <v>#DIV/0!</v>
      </c>
      <c r="E83" s="168" t="e">
        <f t="shared" si="15"/>
        <v>#DIV/0!</v>
      </c>
      <c r="F83" s="168">
        <f t="shared" si="15"/>
        <v>54.644808743169399</v>
      </c>
      <c r="G83" s="168">
        <f t="shared" si="15"/>
        <v>60</v>
      </c>
      <c r="H83" s="168">
        <f t="shared" si="15"/>
        <v>72.727272727272734</v>
      </c>
      <c r="I83" s="168">
        <f t="shared" si="15"/>
        <v>80</v>
      </c>
      <c r="J83" s="168">
        <f>IF(OR(J85="na",J86="na"),"na",IF(OR(J85="nd",J86="nd"),"nd",J86*100/J85))</f>
        <v>80</v>
      </c>
      <c r="K83" s="168">
        <f>IF(OR(K85="na",K86="na"),"na",IF(OR(K85="nd",K86="nd"),"nd",K86*100/K85))</f>
        <v>85</v>
      </c>
    </row>
    <row r="84" spans="1:11">
      <c r="A84" s="150"/>
      <c r="B84" s="148" t="s">
        <v>462</v>
      </c>
      <c r="C84" s="45" t="s">
        <v>4</v>
      </c>
      <c r="D84" s="45" t="str">
        <f>'General Info'!D4</f>
        <v>FY 2008-2009</v>
      </c>
      <c r="E84" s="45" t="str">
        <f>'General Info'!E4</f>
        <v>FY 2009-2010</v>
      </c>
      <c r="F84" s="45" t="str">
        <f>'General Info'!F4</f>
        <v>FY 2010-2011</v>
      </c>
      <c r="G84" s="45" t="str">
        <f>'General Info'!G4</f>
        <v>FY 2011-2012</v>
      </c>
      <c r="H84" s="45" t="str">
        <f>'General Info'!H4</f>
        <v>FY 2012-2013</v>
      </c>
      <c r="I84" s="45" t="str">
        <f>'General Info'!I4</f>
        <v>FY 2013-2014</v>
      </c>
      <c r="J84" s="45" t="str">
        <f>'General Info'!J4</f>
        <v>FY 2014-2015</v>
      </c>
      <c r="K84" s="45" t="str">
        <f>'General Info'!K4</f>
        <v>FY 2015-2016</v>
      </c>
    </row>
    <row r="85" spans="1:11">
      <c r="A85" s="150">
        <v>6.1</v>
      </c>
      <c r="B85" s="169" t="s">
        <v>136</v>
      </c>
      <c r="C85" s="10" t="s">
        <v>19</v>
      </c>
      <c r="D85" s="151"/>
      <c r="E85" s="151"/>
      <c r="F85" s="421">
        <v>549</v>
      </c>
      <c r="G85" s="421">
        <v>500</v>
      </c>
      <c r="H85" s="421">
        <v>550</v>
      </c>
      <c r="I85" s="421">
        <v>6000</v>
      </c>
      <c r="J85" s="421">
        <v>3600</v>
      </c>
      <c r="K85" s="421">
        <v>3720</v>
      </c>
    </row>
    <row r="86" spans="1:11">
      <c r="A86" s="150">
        <v>6.2</v>
      </c>
      <c r="B86" s="169" t="s">
        <v>137</v>
      </c>
      <c r="C86" s="10" t="s">
        <v>19</v>
      </c>
      <c r="D86" s="151"/>
      <c r="E86" s="151"/>
      <c r="F86" s="421">
        <v>300</v>
      </c>
      <c r="G86" s="421">
        <v>300</v>
      </c>
      <c r="H86" s="421">
        <v>400</v>
      </c>
      <c r="I86" s="421">
        <v>4800</v>
      </c>
      <c r="J86" s="421">
        <v>2880</v>
      </c>
      <c r="K86" s="421">
        <v>3162</v>
      </c>
    </row>
    <row r="87" spans="1:11">
      <c r="A87" s="438"/>
      <c r="B87" s="438"/>
      <c r="C87" s="438"/>
      <c r="D87" s="438"/>
      <c r="E87" s="438"/>
      <c r="F87" s="167"/>
      <c r="G87" s="167"/>
      <c r="H87" s="167"/>
      <c r="I87" s="167"/>
      <c r="J87" s="167"/>
      <c r="K87" s="167"/>
    </row>
    <row r="88" spans="1:11">
      <c r="A88" s="117">
        <v>7</v>
      </c>
      <c r="B88" s="114" t="s">
        <v>463</v>
      </c>
      <c r="C88" s="107"/>
      <c r="D88" s="95" t="e">
        <f t="shared" ref="D88:K88" si="16">IF(OR(D97="nd",D108="nd"),"nd",D108*100/D97)</f>
        <v>#DIV/0!</v>
      </c>
      <c r="E88" s="95" t="e">
        <f t="shared" si="16"/>
        <v>#DIV/0!</v>
      </c>
      <c r="F88" s="95" t="e">
        <f t="shared" si="16"/>
        <v>#DIV/0!</v>
      </c>
      <c r="G88" s="95">
        <f t="shared" si="16"/>
        <v>5.458393672719172</v>
      </c>
      <c r="H88" s="95">
        <f t="shared" si="16"/>
        <v>9.7760944636292759</v>
      </c>
      <c r="I88" s="95">
        <f t="shared" si="16"/>
        <v>5.7602304092163692</v>
      </c>
      <c r="J88" s="95">
        <f t="shared" si="16"/>
        <v>5.8311258278145699</v>
      </c>
      <c r="K88" s="95">
        <f t="shared" si="16"/>
        <v>6.5217391304347823</v>
      </c>
    </row>
    <row r="89" spans="1:11">
      <c r="A89" s="147"/>
      <c r="B89" s="98" t="s">
        <v>464</v>
      </c>
      <c r="C89" s="45" t="s">
        <v>4</v>
      </c>
      <c r="D89" s="45" t="str">
        <f>'General Info'!D4</f>
        <v>FY 2008-2009</v>
      </c>
      <c r="E89" s="45" t="str">
        <f>'General Info'!E4</f>
        <v>FY 2009-2010</v>
      </c>
      <c r="F89" s="45" t="str">
        <f>'General Info'!F4</f>
        <v>FY 2010-2011</v>
      </c>
      <c r="G89" s="45" t="str">
        <f>'General Info'!G4</f>
        <v>FY 2011-2012</v>
      </c>
      <c r="H89" s="45" t="str">
        <f>'General Info'!H4</f>
        <v>FY 2012-2013</v>
      </c>
      <c r="I89" s="45" t="str">
        <f>'General Info'!I4</f>
        <v>FY 2013-2014</v>
      </c>
      <c r="J89" s="45" t="str">
        <f>'General Info'!J4</f>
        <v>FY 2014-2015</v>
      </c>
      <c r="K89" s="45" t="str">
        <f>'General Info'!K4</f>
        <v>FY 2015-2016</v>
      </c>
    </row>
    <row r="90" spans="1:11">
      <c r="A90" s="150">
        <v>7.1</v>
      </c>
      <c r="B90" s="169" t="s">
        <v>465</v>
      </c>
      <c r="C90" s="10" t="s">
        <v>466</v>
      </c>
      <c r="D90" s="151"/>
      <c r="E90" s="151"/>
      <c r="F90" s="151"/>
      <c r="G90" s="422">
        <v>312</v>
      </c>
      <c r="H90" s="422">
        <v>312</v>
      </c>
      <c r="I90" s="422">
        <v>360</v>
      </c>
      <c r="J90" s="422">
        <v>240</v>
      </c>
      <c r="K90" s="422">
        <v>250</v>
      </c>
    </row>
    <row r="91" spans="1:11">
      <c r="A91" s="150">
        <v>7.2</v>
      </c>
      <c r="B91" s="169" t="s">
        <v>467</v>
      </c>
      <c r="C91" s="10" t="s">
        <v>466</v>
      </c>
      <c r="D91" s="151"/>
      <c r="E91" s="151"/>
      <c r="F91" s="151"/>
      <c r="G91" s="422">
        <v>130.19999999999999</v>
      </c>
      <c r="H91" s="422">
        <v>130.19999999999999</v>
      </c>
      <c r="I91" s="422">
        <v>50</v>
      </c>
      <c r="J91" s="422">
        <v>40</v>
      </c>
      <c r="K91" s="422">
        <v>45</v>
      </c>
    </row>
    <row r="92" spans="1:11">
      <c r="A92" s="150">
        <v>7.3</v>
      </c>
      <c r="B92" s="169" t="s">
        <v>163</v>
      </c>
      <c r="C92" s="10" t="s">
        <v>466</v>
      </c>
      <c r="D92" s="151"/>
      <c r="E92" s="151"/>
      <c r="F92" s="151"/>
      <c r="G92" s="422">
        <v>1.65</v>
      </c>
      <c r="H92" s="422">
        <v>1.65</v>
      </c>
      <c r="I92" s="422">
        <v>1.65</v>
      </c>
      <c r="J92" s="422">
        <v>20</v>
      </c>
      <c r="K92" s="422">
        <v>25</v>
      </c>
    </row>
    <row r="93" spans="1:11">
      <c r="A93" s="150">
        <v>7.4</v>
      </c>
      <c r="B93" s="169" t="s">
        <v>164</v>
      </c>
      <c r="C93" s="10" t="s">
        <v>466</v>
      </c>
      <c r="D93" s="151"/>
      <c r="E93" s="151"/>
      <c r="F93" s="151"/>
      <c r="G93" s="422">
        <v>3</v>
      </c>
      <c r="H93" s="422">
        <v>3</v>
      </c>
      <c r="I93" s="422">
        <v>3</v>
      </c>
      <c r="J93" s="422">
        <v>1</v>
      </c>
      <c r="K93" s="422">
        <v>1</v>
      </c>
    </row>
    <row r="94" spans="1:11">
      <c r="A94" s="150">
        <v>7.5</v>
      </c>
      <c r="B94" s="169" t="s">
        <v>468</v>
      </c>
      <c r="C94" s="10" t="s">
        <v>466</v>
      </c>
      <c r="D94" s="151"/>
      <c r="E94" s="151"/>
      <c r="F94" s="151"/>
      <c r="G94" s="422">
        <v>2</v>
      </c>
      <c r="H94" s="422">
        <v>2</v>
      </c>
      <c r="I94" s="422">
        <v>2</v>
      </c>
      <c r="J94" s="422">
        <v>1</v>
      </c>
      <c r="K94" s="422">
        <v>1</v>
      </c>
    </row>
    <row r="95" spans="1:11">
      <c r="A95" s="150">
        <v>7.6</v>
      </c>
      <c r="B95" s="169" t="s">
        <v>469</v>
      </c>
      <c r="C95" s="10" t="s">
        <v>466</v>
      </c>
      <c r="D95" s="151"/>
      <c r="E95" s="151"/>
      <c r="F95" s="151"/>
      <c r="G95" s="422">
        <v>0</v>
      </c>
      <c r="H95" s="422">
        <v>0</v>
      </c>
      <c r="I95" s="422">
        <v>0</v>
      </c>
      <c r="J95" s="422">
        <v>0</v>
      </c>
      <c r="K95" s="422">
        <v>0</v>
      </c>
    </row>
    <row r="96" spans="1:11">
      <c r="A96" s="150">
        <v>7.7</v>
      </c>
      <c r="B96" s="169" t="s">
        <v>470</v>
      </c>
      <c r="C96" s="10" t="s">
        <v>466</v>
      </c>
      <c r="D96" s="151"/>
      <c r="E96" s="151"/>
      <c r="F96" s="151"/>
      <c r="G96" s="422">
        <v>0</v>
      </c>
      <c r="H96" s="422">
        <v>0</v>
      </c>
      <c r="I96" s="422">
        <v>0</v>
      </c>
      <c r="J96" s="422">
        <v>0</v>
      </c>
      <c r="K96" s="422">
        <v>0</v>
      </c>
    </row>
    <row r="97" spans="1:11">
      <c r="A97" s="150"/>
      <c r="B97" s="101" t="s">
        <v>471</v>
      </c>
      <c r="C97" s="10" t="s">
        <v>466</v>
      </c>
      <c r="D97" s="154">
        <f>SUM(D90:D96)</f>
        <v>0</v>
      </c>
      <c r="E97" s="154">
        <f>IF(OR(E90="nd",E91="nd",E92="nd",E93="nd",E94="nd",E95="nd",E96="nd"),"nd",SUM($E$90:$E$96))</f>
        <v>0</v>
      </c>
      <c r="F97" s="154">
        <f>IF(OR(F90="nd",F91="nd",F92="nd",F93="nd",F94="nd",F95="nd",F96="nd"),"nd",SUM($F$90:$F$96))</f>
        <v>0</v>
      </c>
      <c r="G97" s="154">
        <f>IF(OR(G90="nd",G91="nd",G92="nd",G93="nd",G94="nd",G95="nd",G96="nd"),"nd",SUM($G$90:$G$96))</f>
        <v>448.84999999999997</v>
      </c>
      <c r="H97" s="154">
        <f>IF(OR(H90="nd",H91="nd",H92="nd",H93="nd",H94="nd",H95="nd",H96="nd"),"nd",SUM($H$90:$H$96))</f>
        <v>448.84999999999997</v>
      </c>
      <c r="I97" s="154">
        <f>IF(OR(I90="nd",I91="nd",I92="nd",I93="nd",I94="nd",I95="nd",I96="nd"),"nd",SUM($I$90:$I$96))</f>
        <v>416.65</v>
      </c>
      <c r="J97" s="154">
        <f>IF(OR(J90="nd",J91="nd",J92="nd",J93="nd",J94="nd",J95="nd",J96="nd"),"nd",SUM($J$90:$J$96))</f>
        <v>302</v>
      </c>
      <c r="K97" s="154">
        <f>IF(OR(K90="nd",K91="nd",K92="nd",K93="nd",K94="nd",K95="nd",K96="nd"),"nd",SUM(K90:K96))</f>
        <v>322</v>
      </c>
    </row>
    <row r="98" spans="1:11">
      <c r="A98" s="438"/>
      <c r="B98" s="438"/>
      <c r="C98" s="438"/>
      <c r="D98" s="438"/>
      <c r="E98" s="438"/>
      <c r="F98" s="167"/>
      <c r="G98" s="167"/>
      <c r="H98" s="167"/>
      <c r="I98" s="167"/>
      <c r="J98" s="167"/>
      <c r="K98" s="167"/>
    </row>
    <row r="99" spans="1:11">
      <c r="A99" s="147"/>
      <c r="B99" s="98" t="s">
        <v>472</v>
      </c>
      <c r="C99" s="45" t="s">
        <v>4</v>
      </c>
      <c r="D99" s="45" t="str">
        <f>'General Info'!D4</f>
        <v>FY 2008-2009</v>
      </c>
      <c r="E99" s="45" t="str">
        <f>'General Info'!E4</f>
        <v>FY 2009-2010</v>
      </c>
      <c r="F99" s="45" t="str">
        <f>'General Info'!F4</f>
        <v>FY 2010-2011</v>
      </c>
      <c r="G99" s="45" t="str">
        <f>'General Info'!G4</f>
        <v>FY 2011-2012</v>
      </c>
      <c r="H99" s="45" t="str">
        <f>'General Info'!H4</f>
        <v>FY 2012-2013</v>
      </c>
      <c r="I99" s="45" t="str">
        <f>'General Info'!I4</f>
        <v>FY 2013-2014</v>
      </c>
      <c r="J99" s="45" t="str">
        <f>'General Info'!J4</f>
        <v>FY 2014-2015</v>
      </c>
      <c r="K99" s="45" t="str">
        <f>'General Info'!K4</f>
        <v>FY 2015-2016</v>
      </c>
    </row>
    <row r="100" spans="1:11">
      <c r="A100" s="150">
        <v>7.8</v>
      </c>
      <c r="B100" s="111" t="s">
        <v>473</v>
      </c>
      <c r="C100" s="10" t="s">
        <v>466</v>
      </c>
      <c r="D100" s="151"/>
      <c r="E100" s="151"/>
      <c r="F100" s="151"/>
      <c r="G100" s="422">
        <v>11.52</v>
      </c>
      <c r="H100" s="151"/>
      <c r="I100" s="422">
        <v>16.2</v>
      </c>
      <c r="J100" s="422">
        <v>12.24</v>
      </c>
      <c r="K100" s="422">
        <v>15.46</v>
      </c>
    </row>
    <row r="101" spans="1:11">
      <c r="A101" s="150">
        <v>7.9</v>
      </c>
      <c r="B101" s="170" t="s">
        <v>474</v>
      </c>
      <c r="C101" s="10" t="s">
        <v>466</v>
      </c>
      <c r="D101" s="151"/>
      <c r="E101" s="151"/>
      <c r="F101" s="151"/>
      <c r="G101" s="422">
        <v>24.5</v>
      </c>
      <c r="H101" s="422">
        <v>43.88</v>
      </c>
      <c r="I101" s="422">
        <v>24</v>
      </c>
      <c r="J101" s="422">
        <v>0</v>
      </c>
      <c r="K101" s="422">
        <v>0</v>
      </c>
    </row>
    <row r="102" spans="1:11">
      <c r="A102" s="275">
        <v>7.1</v>
      </c>
      <c r="B102" s="170" t="s">
        <v>475</v>
      </c>
      <c r="C102" s="10" t="s">
        <v>466</v>
      </c>
      <c r="D102" s="151"/>
      <c r="E102" s="151"/>
      <c r="F102" s="151"/>
      <c r="G102" s="422">
        <v>0</v>
      </c>
      <c r="H102" s="422">
        <v>0</v>
      </c>
      <c r="I102" s="422">
        <v>0</v>
      </c>
      <c r="J102" s="422">
        <v>0</v>
      </c>
      <c r="K102" s="422">
        <v>0</v>
      </c>
    </row>
    <row r="103" spans="1:11">
      <c r="A103" s="150">
        <v>7.11</v>
      </c>
      <c r="B103" s="170" t="s">
        <v>476</v>
      </c>
      <c r="C103" s="10" t="s">
        <v>466</v>
      </c>
      <c r="D103" s="151"/>
      <c r="E103" s="151"/>
      <c r="F103" s="151"/>
      <c r="G103" s="422">
        <v>0</v>
      </c>
      <c r="H103" s="422">
        <v>0</v>
      </c>
      <c r="I103" s="422">
        <v>0</v>
      </c>
      <c r="J103" s="422">
        <v>17.61</v>
      </c>
      <c r="K103" s="422">
        <v>21</v>
      </c>
    </row>
    <row r="104" spans="1:11">
      <c r="A104" s="275">
        <v>7.12</v>
      </c>
      <c r="B104" s="170" t="s">
        <v>477</v>
      </c>
      <c r="C104" s="10" t="s">
        <v>466</v>
      </c>
      <c r="D104" s="151"/>
      <c r="E104" s="151"/>
      <c r="F104" s="151"/>
      <c r="G104" s="422">
        <v>0</v>
      </c>
      <c r="H104" s="422">
        <v>0</v>
      </c>
      <c r="I104" s="422">
        <v>0</v>
      </c>
      <c r="J104" s="422">
        <v>0</v>
      </c>
      <c r="K104" s="422">
        <v>0</v>
      </c>
    </row>
    <row r="105" spans="1:11">
      <c r="A105" s="150">
        <v>7.13</v>
      </c>
      <c r="B105" s="170" t="s">
        <v>478</v>
      </c>
      <c r="C105" s="10" t="s">
        <v>466</v>
      </c>
      <c r="D105" s="151"/>
      <c r="E105" s="151"/>
      <c r="F105" s="151"/>
      <c r="G105" s="422">
        <v>0</v>
      </c>
      <c r="H105" s="422">
        <v>0</v>
      </c>
      <c r="I105" s="422">
        <v>0</v>
      </c>
      <c r="J105" s="422">
        <v>0</v>
      </c>
      <c r="K105" s="422">
        <v>0</v>
      </c>
    </row>
    <row r="106" spans="1:11">
      <c r="A106" s="275">
        <v>7.14</v>
      </c>
      <c r="B106" s="170" t="s">
        <v>479</v>
      </c>
      <c r="C106" s="10" t="s">
        <v>466</v>
      </c>
      <c r="D106" s="151"/>
      <c r="E106" s="151"/>
      <c r="F106" s="151"/>
      <c r="G106" s="422">
        <v>0</v>
      </c>
      <c r="H106" s="422">
        <v>0</v>
      </c>
      <c r="I106" s="422">
        <v>0</v>
      </c>
      <c r="J106" s="422">
        <v>0</v>
      </c>
      <c r="K106" s="422">
        <v>0</v>
      </c>
    </row>
    <row r="107" spans="1:11">
      <c r="A107" s="150">
        <v>7.15</v>
      </c>
      <c r="B107" s="170" t="s">
        <v>320</v>
      </c>
      <c r="C107" s="10" t="s">
        <v>466</v>
      </c>
      <c r="D107" s="151"/>
      <c r="E107" s="151"/>
      <c r="F107" s="151"/>
      <c r="G107" s="422">
        <v>0</v>
      </c>
      <c r="H107" s="422">
        <v>0</v>
      </c>
      <c r="I107" s="422">
        <v>0</v>
      </c>
      <c r="J107" s="422">
        <v>0</v>
      </c>
      <c r="K107" s="422">
        <v>0</v>
      </c>
    </row>
    <row r="108" spans="1:11">
      <c r="A108" s="150"/>
      <c r="B108" s="101" t="s">
        <v>480</v>
      </c>
      <c r="C108" s="10" t="s">
        <v>466</v>
      </c>
      <c r="D108" s="154">
        <f>SUM(D101:D107)</f>
        <v>0</v>
      </c>
      <c r="E108" s="154">
        <f>IF(OR(E101="nd",E102="nd",E103="nd",E104="nd",E105="nd",E106="nd",E107="nd"),"nd",SUM($E$101:$E$107))</f>
        <v>0</v>
      </c>
      <c r="F108" s="154">
        <f>IF(OR(F101="nd",F102="nd",F103="nd",F104="nd",F105="nd",F106="nd",F107="nd"),"nd",SUM($F$101:$F$107))</f>
        <v>0</v>
      </c>
      <c r="G108" s="154">
        <f>IF(OR(G101="nd",G102="nd",G103="nd",G104="nd",G105="nd",G106="nd",G107="nd"),"nd",SUM($G$101:$G$107))</f>
        <v>24.5</v>
      </c>
      <c r="H108" s="154">
        <f>IF(OR(H101="nd",H102="nd",H103="nd",H104="nd",H105="nd",H106="nd",H107="nd"),"nd",SUM($H$101:$H$107))</f>
        <v>43.88</v>
      </c>
      <c r="I108" s="154">
        <f>IF(OR(I101="nd",I102="nd",I103="nd",I104="nd",I105="nd",I106="nd",I107="nd"),"nd",SUM($I$101:$I$107))</f>
        <v>24</v>
      </c>
      <c r="J108" s="154">
        <f>IF(OR(J101="nd",J102="nd",J103="nd",J104="nd",J105="nd",J106="nd",J107="nd"),"nd",SUM($J$101:$J$107))</f>
        <v>17.61</v>
      </c>
      <c r="K108" s="154">
        <f>IF(OR(K101="nd",K102="nd",K103="nd",K104="nd",K105="nd",K106="nd",K107="nd"),"nd",SUM(K101:K107))</f>
        <v>21</v>
      </c>
    </row>
    <row r="110" spans="1:11">
      <c r="A110" s="117">
        <v>8</v>
      </c>
      <c r="B110" s="171" t="s">
        <v>481</v>
      </c>
      <c r="C110" s="171"/>
      <c r="D110" s="171" t="e">
        <f t="shared" ref="D110:I110" si="17">IF(D114="na","na",IF(OR(D114="nd",D112="nd"),"nd",D114*100/D112))</f>
        <v>#DIV/0!</v>
      </c>
      <c r="E110" s="171" t="e">
        <f t="shared" si="17"/>
        <v>#DIV/0!</v>
      </c>
      <c r="F110" s="171" t="e">
        <f t="shared" si="17"/>
        <v>#DIV/0!</v>
      </c>
      <c r="G110" s="171">
        <f t="shared" si="17"/>
        <v>39.061224489795919</v>
      </c>
      <c r="H110" s="171">
        <f t="shared" si="17"/>
        <v>41.613491340018236</v>
      </c>
      <c r="I110" s="171">
        <f t="shared" si="17"/>
        <v>47.041666666666664</v>
      </c>
      <c r="J110" s="171">
        <f>IF(J114="na","na",IF(OR(J114="nd",J112="nd"),"nd",J114*100/J112))</f>
        <v>52.810902896081778</v>
      </c>
      <c r="K110" s="171">
        <f>IF(K114="na","na",IF(OR(K114="nd",K112="nd"),"nd",K114*100/K112))</f>
        <v>55.476190476190474</v>
      </c>
    </row>
    <row r="111" spans="1:11">
      <c r="A111" s="172"/>
      <c r="B111" s="75"/>
      <c r="C111" s="45" t="s">
        <v>4</v>
      </c>
      <c r="D111" s="45" t="str">
        <f>'General Info'!D4</f>
        <v>FY 2008-2009</v>
      </c>
      <c r="E111" s="45" t="str">
        <f>'General Info'!E4</f>
        <v>FY 2009-2010</v>
      </c>
      <c r="F111" s="45" t="str">
        <f>'General Info'!F4</f>
        <v>FY 2010-2011</v>
      </c>
      <c r="G111" s="45" t="str">
        <f>'General Info'!G4</f>
        <v>FY 2011-2012</v>
      </c>
      <c r="H111" s="45" t="str">
        <f>'General Info'!H4</f>
        <v>FY 2012-2013</v>
      </c>
      <c r="I111" s="45" t="str">
        <f>'General Info'!I4</f>
        <v>FY 2013-2014</v>
      </c>
      <c r="J111" s="45" t="str">
        <f>'General Info'!J4</f>
        <v>FY 2014-2015</v>
      </c>
      <c r="K111" s="45" t="str">
        <f>'General Info'!K4</f>
        <v>FY 2015-2016</v>
      </c>
    </row>
    <row r="112" spans="1:11">
      <c r="A112" s="150">
        <v>8.1</v>
      </c>
      <c r="B112" s="173" t="s">
        <v>480</v>
      </c>
      <c r="C112" s="10" t="s">
        <v>466</v>
      </c>
      <c r="D112" s="154">
        <f t="shared" ref="D112:K112" si="18">D108</f>
        <v>0</v>
      </c>
      <c r="E112" s="154">
        <f t="shared" si="18"/>
        <v>0</v>
      </c>
      <c r="F112" s="154">
        <f t="shared" si="18"/>
        <v>0</v>
      </c>
      <c r="G112" s="154">
        <f t="shared" si="18"/>
        <v>24.5</v>
      </c>
      <c r="H112" s="154">
        <f t="shared" si="18"/>
        <v>43.88</v>
      </c>
      <c r="I112" s="154">
        <f t="shared" si="18"/>
        <v>24</v>
      </c>
      <c r="J112" s="154">
        <f t="shared" si="18"/>
        <v>17.61</v>
      </c>
      <c r="K112" s="154">
        <f t="shared" si="18"/>
        <v>21</v>
      </c>
    </row>
    <row r="113" spans="1:11">
      <c r="A113" s="150">
        <v>8.1999999999999993</v>
      </c>
      <c r="B113" s="111" t="s">
        <v>328</v>
      </c>
      <c r="C113" s="10" t="s">
        <v>466</v>
      </c>
      <c r="D113" s="151"/>
      <c r="E113" s="151"/>
      <c r="F113" s="151"/>
      <c r="G113" s="422">
        <v>9.66</v>
      </c>
      <c r="H113" s="422">
        <v>9.66</v>
      </c>
      <c r="I113" s="422">
        <v>6.84</v>
      </c>
      <c r="J113" s="422">
        <v>10.199999999999999</v>
      </c>
      <c r="K113" s="422">
        <v>15.46</v>
      </c>
    </row>
    <row r="114" spans="1:11">
      <c r="A114" s="150">
        <v>8.3000000000000007</v>
      </c>
      <c r="B114" s="111" t="s">
        <v>482</v>
      </c>
      <c r="C114" s="10" t="s">
        <v>466</v>
      </c>
      <c r="D114" s="151"/>
      <c r="E114" s="151"/>
      <c r="F114" s="151"/>
      <c r="G114" s="422">
        <v>9.57</v>
      </c>
      <c r="H114" s="422">
        <v>18.260000000000002</v>
      </c>
      <c r="I114" s="422">
        <v>11.29</v>
      </c>
      <c r="J114" s="422">
        <v>9.3000000000000007</v>
      </c>
      <c r="K114" s="422">
        <v>11.65</v>
      </c>
    </row>
    <row r="115" spans="1:11">
      <c r="A115" s="437"/>
      <c r="B115" s="437"/>
      <c r="C115" s="437"/>
      <c r="D115" s="437"/>
      <c r="E115" s="437"/>
      <c r="F115" s="126"/>
      <c r="G115" s="126"/>
      <c r="H115" s="126"/>
      <c r="I115" s="126"/>
      <c r="J115" s="126"/>
      <c r="K115" s="126"/>
    </row>
    <row r="116" spans="1:11">
      <c r="A116" s="431" t="s">
        <v>483</v>
      </c>
      <c r="B116" s="431"/>
      <c r="C116" s="431"/>
      <c r="D116" s="431"/>
      <c r="E116" s="431"/>
      <c r="F116" s="74"/>
      <c r="G116" s="74"/>
      <c r="H116" s="74"/>
      <c r="I116" s="74"/>
      <c r="J116" s="74"/>
      <c r="K116" s="74"/>
    </row>
    <row r="117" spans="1:11">
      <c r="A117" s="172">
        <v>9</v>
      </c>
      <c r="B117" s="75" t="s">
        <v>180</v>
      </c>
      <c r="C117" s="45" t="s">
        <v>4</v>
      </c>
      <c r="D117" s="45" t="str">
        <f>'General Info'!D4</f>
        <v>FY 2008-2009</v>
      </c>
      <c r="E117" s="45" t="str">
        <f>'General Info'!E4</f>
        <v>FY 2009-2010</v>
      </c>
      <c r="F117" s="45" t="str">
        <f>'General Info'!F4</f>
        <v>FY 2010-2011</v>
      </c>
      <c r="G117" s="45" t="str">
        <f>'General Info'!G4</f>
        <v>FY 2011-2012</v>
      </c>
      <c r="H117" s="45" t="str">
        <f>'General Info'!H4</f>
        <v>FY 2012-2013</v>
      </c>
      <c r="I117" s="45" t="str">
        <f>'General Info'!I4</f>
        <v>FY 2013-2014</v>
      </c>
      <c r="J117" s="45" t="str">
        <f>'General Info'!J4</f>
        <v>FY 2014-2015</v>
      </c>
      <c r="K117" s="45" t="str">
        <f>'General Info'!K4</f>
        <v>FY 2015-2016</v>
      </c>
    </row>
    <row r="118" spans="1:11">
      <c r="A118" s="174">
        <v>9.1</v>
      </c>
      <c r="B118" s="76" t="s">
        <v>484</v>
      </c>
      <c r="C118" s="10" t="s">
        <v>19</v>
      </c>
      <c r="D118" s="163"/>
      <c r="E118" s="163"/>
      <c r="F118" s="163"/>
      <c r="G118" s="421">
        <v>1</v>
      </c>
      <c r="H118" s="421">
        <v>1</v>
      </c>
      <c r="I118" s="421">
        <v>1</v>
      </c>
      <c r="J118" s="421">
        <v>1</v>
      </c>
      <c r="K118" s="421">
        <v>1</v>
      </c>
    </row>
    <row r="119" spans="1:11">
      <c r="A119" s="174">
        <v>9.1999999999999993</v>
      </c>
      <c r="B119" s="76" t="s">
        <v>485</v>
      </c>
      <c r="C119" s="10" t="s">
        <v>19</v>
      </c>
      <c r="D119" s="163"/>
      <c r="E119" s="163"/>
      <c r="F119" s="163"/>
      <c r="G119" s="421">
        <v>0</v>
      </c>
      <c r="H119" s="421">
        <v>0</v>
      </c>
      <c r="I119" s="421">
        <v>0</v>
      </c>
      <c r="J119" s="421">
        <v>0</v>
      </c>
      <c r="K119" s="421">
        <v>0</v>
      </c>
    </row>
    <row r="120" spans="1:11">
      <c r="A120" s="174">
        <v>9.3000000000000007</v>
      </c>
      <c r="B120" s="76" t="s">
        <v>486</v>
      </c>
      <c r="C120" s="10" t="s">
        <v>19</v>
      </c>
      <c r="D120" s="163"/>
      <c r="E120" s="163"/>
      <c r="F120" s="163"/>
      <c r="G120" s="421">
        <v>5</v>
      </c>
      <c r="H120" s="421">
        <v>5</v>
      </c>
      <c r="I120" s="421">
        <v>5</v>
      </c>
      <c r="J120" s="421">
        <v>3</v>
      </c>
      <c r="K120" s="421">
        <v>3</v>
      </c>
    </row>
    <row r="121" spans="1:11">
      <c r="A121" s="174">
        <v>9.4</v>
      </c>
      <c r="B121" s="76" t="s">
        <v>487</v>
      </c>
      <c r="C121" s="10" t="s">
        <v>19</v>
      </c>
      <c r="D121" s="163"/>
      <c r="E121" s="163"/>
      <c r="F121" s="163"/>
      <c r="G121" s="421">
        <v>2</v>
      </c>
      <c r="H121" s="421">
        <v>2</v>
      </c>
      <c r="I121" s="421">
        <v>2</v>
      </c>
      <c r="J121" s="421">
        <v>1</v>
      </c>
      <c r="K121" s="421">
        <v>1</v>
      </c>
    </row>
    <row r="122" spans="1:11">
      <c r="A122" s="174">
        <v>9.5</v>
      </c>
      <c r="B122" s="76" t="s">
        <v>488</v>
      </c>
      <c r="C122" s="10" t="s">
        <v>19</v>
      </c>
      <c r="D122" s="163"/>
      <c r="E122" s="163"/>
      <c r="F122" s="163"/>
      <c r="G122" s="421">
        <v>7</v>
      </c>
      <c r="H122" s="421">
        <v>7</v>
      </c>
      <c r="I122" s="421">
        <v>7</v>
      </c>
      <c r="J122" s="421">
        <v>7</v>
      </c>
      <c r="K122" s="421">
        <v>7</v>
      </c>
    </row>
    <row r="123" spans="1:11">
      <c r="A123" s="174">
        <v>9.6</v>
      </c>
      <c r="B123" s="76" t="s">
        <v>489</v>
      </c>
      <c r="C123" s="10" t="s">
        <v>19</v>
      </c>
      <c r="D123" s="163"/>
      <c r="E123" s="163"/>
      <c r="F123" s="163"/>
      <c r="G123" s="421">
        <v>3</v>
      </c>
      <c r="H123" s="421">
        <v>3</v>
      </c>
      <c r="I123" s="421">
        <v>3</v>
      </c>
      <c r="J123" s="421">
        <v>6</v>
      </c>
      <c r="K123" s="421">
        <v>6</v>
      </c>
    </row>
    <row r="124" spans="1:11">
      <c r="A124" s="174">
        <v>9.6999999999999993</v>
      </c>
      <c r="B124" s="76" t="s">
        <v>490</v>
      </c>
      <c r="C124" s="10" t="s">
        <v>19</v>
      </c>
      <c r="D124" s="163"/>
      <c r="E124" s="163"/>
      <c r="F124" s="163"/>
      <c r="G124" s="421">
        <v>200</v>
      </c>
      <c r="H124" s="421">
        <v>200</v>
      </c>
      <c r="I124" s="421">
        <v>236</v>
      </c>
      <c r="J124" s="421">
        <v>150</v>
      </c>
      <c r="K124" s="421">
        <v>150</v>
      </c>
    </row>
    <row r="125" spans="1:11">
      <c r="A125" s="174">
        <v>9.8000000000000007</v>
      </c>
      <c r="B125" s="76" t="s">
        <v>491</v>
      </c>
      <c r="C125" s="10" t="s">
        <v>19</v>
      </c>
      <c r="D125" s="163"/>
      <c r="E125" s="163"/>
      <c r="F125" s="163"/>
      <c r="G125" s="421">
        <v>236</v>
      </c>
      <c r="H125" s="421">
        <v>236</v>
      </c>
      <c r="I125" s="421">
        <v>236</v>
      </c>
      <c r="J125" s="421">
        <v>150</v>
      </c>
      <c r="K125" s="421">
        <v>150</v>
      </c>
    </row>
    <row r="126" spans="1:11">
      <c r="A126" s="174">
        <v>9.9</v>
      </c>
      <c r="B126" s="76" t="s">
        <v>492</v>
      </c>
      <c r="C126" s="10" t="s">
        <v>19</v>
      </c>
      <c r="D126" s="163"/>
      <c r="E126" s="163"/>
      <c r="F126" s="163"/>
      <c r="G126" s="421">
        <v>3</v>
      </c>
      <c r="H126" s="421">
        <v>3</v>
      </c>
      <c r="I126" s="421">
        <v>3</v>
      </c>
      <c r="J126" s="421">
        <v>3</v>
      </c>
      <c r="K126" s="421">
        <v>3</v>
      </c>
    </row>
    <row r="127" spans="1:11">
      <c r="A127" s="276">
        <v>9.1</v>
      </c>
      <c r="B127" s="76" t="s">
        <v>493</v>
      </c>
      <c r="C127" s="10" t="s">
        <v>19</v>
      </c>
      <c r="D127" s="163"/>
      <c r="E127" s="163"/>
      <c r="F127" s="163"/>
      <c r="G127" s="421">
        <v>3</v>
      </c>
      <c r="H127" s="421">
        <v>3</v>
      </c>
      <c r="I127" s="421">
        <v>3</v>
      </c>
      <c r="J127" s="421">
        <v>3</v>
      </c>
      <c r="K127" s="421">
        <v>3</v>
      </c>
    </row>
    <row r="128" spans="1:11">
      <c r="A128" s="174">
        <v>9.11</v>
      </c>
      <c r="B128" s="175" t="s">
        <v>193</v>
      </c>
      <c r="C128" s="10" t="s">
        <v>19</v>
      </c>
      <c r="D128" s="163"/>
      <c r="E128" s="163"/>
      <c r="F128" s="163"/>
      <c r="G128" s="421">
        <v>0</v>
      </c>
      <c r="H128" s="421">
        <v>0</v>
      </c>
      <c r="I128" s="421">
        <v>0</v>
      </c>
      <c r="J128" s="421">
        <v>0</v>
      </c>
      <c r="K128" s="421">
        <v>0</v>
      </c>
    </row>
    <row r="129" spans="1:11">
      <c r="A129" s="276">
        <v>9.1199999999999992</v>
      </c>
      <c r="B129" s="175" t="s">
        <v>194</v>
      </c>
      <c r="C129" s="10" t="s">
        <v>19</v>
      </c>
      <c r="D129" s="163"/>
      <c r="E129" s="163"/>
      <c r="F129" s="163"/>
      <c r="G129" s="421">
        <v>0</v>
      </c>
      <c r="H129" s="421">
        <v>0</v>
      </c>
      <c r="I129" s="421">
        <v>0</v>
      </c>
      <c r="J129" s="421">
        <v>0</v>
      </c>
      <c r="K129" s="421">
        <v>0</v>
      </c>
    </row>
    <row r="130" spans="1:11">
      <c r="A130" s="174">
        <v>9.1300000000000008</v>
      </c>
      <c r="B130" s="175" t="s">
        <v>494</v>
      </c>
      <c r="C130" s="10" t="s">
        <v>19</v>
      </c>
      <c r="D130" s="163"/>
      <c r="E130" s="163"/>
      <c r="F130" s="163"/>
      <c r="G130" s="421">
        <v>0</v>
      </c>
      <c r="H130" s="421">
        <v>0</v>
      </c>
      <c r="I130" s="421">
        <v>0</v>
      </c>
      <c r="J130" s="421">
        <v>0</v>
      </c>
      <c r="K130" s="421">
        <v>0</v>
      </c>
    </row>
    <row r="131" spans="1:11">
      <c r="A131" s="174"/>
      <c r="B131" s="76" t="s">
        <v>195</v>
      </c>
      <c r="C131" s="10" t="s">
        <v>19</v>
      </c>
      <c r="D131" s="163">
        <f t="shared" ref="D131:I131" si="19">IF(AND(D128="na",D126="na",D124="na",D122="na",D120="na",D118="na"),"na",IF(OR(D128="nd",D126="nd",D124="nd",D122="nd",D120="nd",D118="nd"),"nd",SUM(D128,D126,D124,D122,D120,D118)))</f>
        <v>0</v>
      </c>
      <c r="E131" s="163">
        <f t="shared" si="19"/>
        <v>0</v>
      </c>
      <c r="F131" s="163">
        <f t="shared" si="19"/>
        <v>0</v>
      </c>
      <c r="G131" s="163">
        <f t="shared" si="19"/>
        <v>216</v>
      </c>
      <c r="H131" s="163">
        <f t="shared" si="19"/>
        <v>216</v>
      </c>
      <c r="I131" s="163">
        <f t="shared" si="19"/>
        <v>252</v>
      </c>
      <c r="J131" s="163">
        <f>IF(AND(J128="na",J126="na",J124="na",J122="na",J120="na",J118="na"),"na",IF(OR(J128="nd",J126="nd",J124="nd",J122="nd",J120="nd",J118="nd"),"nd",SUM(J128,J126,J124,J122,J120,J118)))</f>
        <v>164</v>
      </c>
      <c r="K131" s="163">
        <f>IF(AND(K128="na",K126="na",K124="na",K122="na",K120="na",K118="na"),"na",IF(OR(K128="nd",K126="nd",K124="nd",K122="nd",K120="nd",K118="nd"),"nd",SUM(K128,K126,K124,K122,K120,K118)))</f>
        <v>164</v>
      </c>
    </row>
    <row r="132" spans="1:11">
      <c r="A132" s="174"/>
      <c r="B132" s="76" t="s">
        <v>196</v>
      </c>
      <c r="C132" s="10" t="s">
        <v>19</v>
      </c>
      <c r="D132" s="163">
        <f t="shared" ref="D132:I132" si="20">IF(AND(D129="na",D127="na",D125="na",D123="na",D121="na",D119="na",D130="na"),"na",IF(OR(D129="nd",D127="nd",D125="nd",D123="nd",D121="nd",D119="nd",D130="nd"),"nd",SUM(D129,D127,D125,D123,D121,D119,D130)))</f>
        <v>0</v>
      </c>
      <c r="E132" s="163">
        <f t="shared" si="20"/>
        <v>0</v>
      </c>
      <c r="F132" s="163">
        <f t="shared" si="20"/>
        <v>0</v>
      </c>
      <c r="G132" s="163">
        <f t="shared" si="20"/>
        <v>244</v>
      </c>
      <c r="H132" s="163">
        <f t="shared" si="20"/>
        <v>244</v>
      </c>
      <c r="I132" s="163">
        <f t="shared" si="20"/>
        <v>244</v>
      </c>
      <c r="J132" s="163">
        <f>IF(AND(J129="na",J127="na",J125="na",J123="na",J121="na",J119="na",J130="na"),"na",IF(OR(J129="nd",J127="nd",J125="nd",J123="nd",J121="nd",J119="nd",J130="nd"),"nd",SUM(J129,J127,J125,J123,J121,J119,J130)))</f>
        <v>160</v>
      </c>
      <c r="K132" s="163">
        <f>IF(AND(K129="na",K127="na",K125="na",K123="na",K121="na",K119="na",K130="na"),"na",IF(OR(K129="nd",K127="nd",K125="nd",K123="nd",K121="nd",K119="nd",K130="nd"),"nd",SUM(K129,K127,K125,K123,K121,K119,K130)))</f>
        <v>160</v>
      </c>
    </row>
    <row r="133" spans="1:11">
      <c r="A133" s="176"/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</row>
    <row r="134" spans="1:11">
      <c r="A134" s="174">
        <v>9.14</v>
      </c>
      <c r="B134" s="178" t="s">
        <v>495</v>
      </c>
      <c r="C134" s="10" t="s">
        <v>342</v>
      </c>
      <c r="D134" s="179"/>
      <c r="E134" s="179"/>
      <c r="F134" s="370" t="s">
        <v>978</v>
      </c>
      <c r="G134" s="370" t="s">
        <v>963</v>
      </c>
      <c r="H134" s="370" t="s">
        <v>963</v>
      </c>
      <c r="I134" s="370" t="s">
        <v>963</v>
      </c>
      <c r="J134" s="422" t="s">
        <v>961</v>
      </c>
      <c r="K134" s="370" t="s">
        <v>961</v>
      </c>
    </row>
    <row r="135" spans="1:11">
      <c r="A135" s="174">
        <v>9.15</v>
      </c>
      <c r="B135" s="178" t="s">
        <v>496</v>
      </c>
      <c r="C135" s="10" t="s">
        <v>342</v>
      </c>
      <c r="D135" s="179"/>
      <c r="E135" s="179"/>
      <c r="F135" s="370" t="s">
        <v>978</v>
      </c>
      <c r="G135" s="370" t="s">
        <v>963</v>
      </c>
      <c r="H135" s="370" t="s">
        <v>963</v>
      </c>
      <c r="I135" s="370" t="s">
        <v>963</v>
      </c>
      <c r="J135" s="422" t="s">
        <v>961</v>
      </c>
      <c r="K135" s="370" t="s">
        <v>961</v>
      </c>
    </row>
    <row r="136" spans="1:11">
      <c r="A136" s="174">
        <v>9.16</v>
      </c>
      <c r="B136" s="178" t="s">
        <v>497</v>
      </c>
      <c r="C136" s="10" t="s">
        <v>342</v>
      </c>
      <c r="D136" s="179"/>
      <c r="E136" s="179"/>
      <c r="F136" s="370" t="s">
        <v>978</v>
      </c>
      <c r="G136" s="370" t="s">
        <v>963</v>
      </c>
      <c r="H136" s="370" t="s">
        <v>963</v>
      </c>
      <c r="I136" s="370" t="s">
        <v>963</v>
      </c>
      <c r="J136" s="370" t="s">
        <v>963</v>
      </c>
      <c r="K136" s="370" t="s">
        <v>963</v>
      </c>
    </row>
    <row r="137" spans="1:11">
      <c r="A137" s="174">
        <v>9.17</v>
      </c>
      <c r="B137" s="178" t="s">
        <v>498</v>
      </c>
      <c r="C137" s="10" t="s">
        <v>342</v>
      </c>
      <c r="D137" s="179"/>
      <c r="E137" s="179"/>
      <c r="F137" s="370" t="s">
        <v>978</v>
      </c>
      <c r="G137" s="370" t="s">
        <v>963</v>
      </c>
      <c r="H137" s="370" t="s">
        <v>963</v>
      </c>
      <c r="I137" s="370" t="s">
        <v>963</v>
      </c>
      <c r="J137" s="370" t="s">
        <v>963</v>
      </c>
      <c r="K137" s="370" t="s">
        <v>963</v>
      </c>
    </row>
    <row r="138" spans="1:11">
      <c r="A138" s="174"/>
      <c r="B138" s="178"/>
      <c r="C138" s="180"/>
      <c r="D138" s="179"/>
      <c r="E138" s="179"/>
      <c r="F138" s="179"/>
      <c r="G138" s="179"/>
      <c r="H138" s="179"/>
      <c r="I138" s="179"/>
      <c r="J138" s="179"/>
      <c r="K138" s="179"/>
    </row>
    <row r="139" spans="1:11">
      <c r="A139" s="172"/>
      <c r="B139" s="75" t="s">
        <v>499</v>
      </c>
      <c r="C139" s="45" t="s">
        <v>4</v>
      </c>
      <c r="D139" s="45" t="str">
        <f>'General Info'!D4</f>
        <v>FY 2008-2009</v>
      </c>
      <c r="E139" s="45" t="str">
        <f>'General Info'!E4</f>
        <v>FY 2009-2010</v>
      </c>
      <c r="F139" s="45" t="str">
        <f>'General Info'!F4</f>
        <v>FY 2010-2011</v>
      </c>
      <c r="G139" s="45" t="str">
        <f>'General Info'!G4</f>
        <v>FY 2011-2012</v>
      </c>
      <c r="H139" s="45" t="str">
        <f>'General Info'!H4</f>
        <v>FY 2012-2013</v>
      </c>
      <c r="I139" s="45" t="str">
        <f>'General Info'!I4</f>
        <v>FY 2013-2014</v>
      </c>
      <c r="J139" s="45" t="str">
        <f>'General Info'!J4</f>
        <v>FY 2014-2015</v>
      </c>
      <c r="K139" s="45" t="str">
        <f>'General Info'!K4</f>
        <v>FY 2015-2016</v>
      </c>
    </row>
    <row r="140" spans="1:11">
      <c r="A140" s="174">
        <v>9.18</v>
      </c>
      <c r="B140" s="178" t="s">
        <v>500</v>
      </c>
      <c r="C140" s="10" t="s">
        <v>501</v>
      </c>
      <c r="D140" s="179"/>
      <c r="E140" s="179"/>
      <c r="F140" s="179"/>
      <c r="G140" s="179"/>
      <c r="H140" s="179"/>
      <c r="I140" s="179"/>
      <c r="J140" s="422" t="s">
        <v>961</v>
      </c>
      <c r="K140" s="422" t="s">
        <v>961</v>
      </c>
    </row>
    <row r="141" spans="1:11">
      <c r="A141" s="174">
        <v>9.19</v>
      </c>
      <c r="B141" s="178" t="s">
        <v>502</v>
      </c>
      <c r="C141" s="10" t="s">
        <v>501</v>
      </c>
      <c r="D141" s="179"/>
      <c r="E141" s="179"/>
      <c r="F141" s="179"/>
      <c r="G141" s="179"/>
      <c r="H141" s="179"/>
      <c r="I141" s="179"/>
      <c r="J141" s="422" t="s">
        <v>961</v>
      </c>
      <c r="K141" s="422" t="s">
        <v>961</v>
      </c>
    </row>
    <row r="142" spans="1:11">
      <c r="A142" s="276">
        <v>9.1999999999999993</v>
      </c>
      <c r="B142" s="178" t="s">
        <v>503</v>
      </c>
      <c r="C142" s="10" t="s">
        <v>501</v>
      </c>
      <c r="D142" s="179"/>
      <c r="E142" s="179"/>
      <c r="F142" s="179"/>
      <c r="G142" s="179"/>
      <c r="H142" s="179"/>
      <c r="I142" s="179"/>
      <c r="J142" s="422" t="s">
        <v>961</v>
      </c>
      <c r="K142" s="422" t="s">
        <v>961</v>
      </c>
    </row>
    <row r="143" spans="1:11">
      <c r="A143" s="174">
        <v>9.2100000000000009</v>
      </c>
      <c r="B143" s="178" t="s">
        <v>504</v>
      </c>
      <c r="C143" s="10" t="s">
        <v>501</v>
      </c>
      <c r="D143" s="179"/>
      <c r="E143" s="179"/>
      <c r="F143" s="179"/>
      <c r="G143" s="179"/>
      <c r="H143" s="179"/>
      <c r="I143" s="179"/>
      <c r="J143" s="422">
        <v>16.5</v>
      </c>
      <c r="K143" s="422">
        <v>16.5</v>
      </c>
    </row>
    <row r="144" spans="1:11">
      <c r="A144" s="174">
        <v>9.2200000000000006</v>
      </c>
      <c r="B144" s="178" t="s">
        <v>505</v>
      </c>
      <c r="C144" s="10" t="s">
        <v>501</v>
      </c>
      <c r="D144" s="179"/>
      <c r="E144" s="179"/>
      <c r="F144" s="422">
        <v>0</v>
      </c>
      <c r="G144" s="422">
        <v>0.16722408</v>
      </c>
      <c r="H144" s="422">
        <v>0.235294118</v>
      </c>
      <c r="I144" s="422">
        <v>0</v>
      </c>
      <c r="J144" s="422" t="s">
        <v>961</v>
      </c>
      <c r="K144" s="422" t="s">
        <v>961</v>
      </c>
    </row>
    <row r="146" spans="1:11">
      <c r="A146" s="5"/>
      <c r="B146" s="368" t="s">
        <v>38</v>
      </c>
      <c r="C146" s="7"/>
      <c r="D146" s="7"/>
      <c r="E146" s="7"/>
      <c r="F146" s="7"/>
      <c r="G146" s="7"/>
      <c r="H146" s="7"/>
      <c r="I146" s="7"/>
      <c r="J146" s="7"/>
      <c r="K146" s="7"/>
    </row>
    <row r="147" spans="1:11">
      <c r="A147" s="271"/>
      <c r="B147" s="14" t="s">
        <v>38</v>
      </c>
      <c r="C147" s="369"/>
      <c r="D147" s="370" t="s">
        <v>39</v>
      </c>
      <c r="E147" s="370" t="s">
        <v>39</v>
      </c>
      <c r="F147" s="370" t="s">
        <v>39</v>
      </c>
      <c r="G147" s="370" t="s">
        <v>39</v>
      </c>
      <c r="H147" s="370" t="s">
        <v>39</v>
      </c>
      <c r="I147" s="370" t="s">
        <v>39</v>
      </c>
      <c r="J147" s="370" t="s">
        <v>39</v>
      </c>
      <c r="K147" s="370" t="s">
        <v>39</v>
      </c>
    </row>
    <row r="149" spans="1:11">
      <c r="A149" s="181" t="s">
        <v>2</v>
      </c>
      <c r="B149" s="81" t="s">
        <v>506</v>
      </c>
      <c r="C149" s="82" t="s">
        <v>4</v>
      </c>
      <c r="D149" s="82" t="str">
        <f>'General Info'!D4</f>
        <v>FY 2008-2009</v>
      </c>
      <c r="E149" s="82" t="str">
        <f>'General Info'!E4</f>
        <v>FY 2009-2010</v>
      </c>
      <c r="F149" s="82" t="str">
        <f>'General Info'!F4</f>
        <v>FY 2010-2011</v>
      </c>
      <c r="G149" s="82" t="str">
        <f>'General Info'!G4</f>
        <v>FY 2011-2012</v>
      </c>
      <c r="H149" s="82" t="str">
        <f>'General Info'!H4</f>
        <v>FY 2012-2013</v>
      </c>
      <c r="I149" s="82" t="str">
        <f>'General Info'!I4</f>
        <v>FY 2013-2014</v>
      </c>
      <c r="J149" s="82" t="str">
        <f>'General Info'!J4</f>
        <v>FY 2014-2015</v>
      </c>
      <c r="K149" s="82" t="str">
        <f>'General Info'!K4</f>
        <v>FY 2015-2016</v>
      </c>
    </row>
    <row r="150" spans="1:11">
      <c r="A150" s="182">
        <v>1</v>
      </c>
      <c r="B150" s="183" t="s">
        <v>507</v>
      </c>
      <c r="C150" s="10" t="s">
        <v>16</v>
      </c>
      <c r="D150" s="184" t="e">
        <f t="shared" ref="D150:K150" si="21">D5</f>
        <v>#DIV/0!</v>
      </c>
      <c r="E150" s="184" t="e">
        <f t="shared" si="21"/>
        <v>#DIV/0!</v>
      </c>
      <c r="F150" s="184">
        <f t="shared" si="21"/>
        <v>28.768494031877637</v>
      </c>
      <c r="G150" s="184">
        <f t="shared" si="21"/>
        <v>30.81705388964815</v>
      </c>
      <c r="H150" s="184">
        <f t="shared" si="21"/>
        <v>33.553865109551616</v>
      </c>
      <c r="I150" s="184">
        <f t="shared" si="21"/>
        <v>36.683674777569806</v>
      </c>
      <c r="J150" s="184">
        <f t="shared" si="21"/>
        <v>37.95917336162902</v>
      </c>
      <c r="K150" s="184">
        <f t="shared" si="21"/>
        <v>39.710382921549602</v>
      </c>
    </row>
    <row r="151" spans="1:11">
      <c r="A151" s="182">
        <v>2</v>
      </c>
      <c r="B151" s="183" t="s">
        <v>508</v>
      </c>
      <c r="C151" s="10" t="s">
        <v>16</v>
      </c>
      <c r="D151" s="185" t="e">
        <f t="shared" ref="D151:K151" si="22">D14</f>
        <v>#DIV/0!</v>
      </c>
      <c r="E151" s="185" t="e">
        <f t="shared" si="22"/>
        <v>#DIV/0!</v>
      </c>
      <c r="F151" s="185">
        <f t="shared" si="22"/>
        <v>86.956521739130437</v>
      </c>
      <c r="G151" s="185">
        <f t="shared" si="22"/>
        <v>2.5477707006369426</v>
      </c>
      <c r="H151" s="185">
        <f t="shared" si="22"/>
        <v>85.897141197962668</v>
      </c>
      <c r="I151" s="185">
        <f t="shared" si="22"/>
        <v>79.881656804733723</v>
      </c>
      <c r="J151" s="185">
        <f t="shared" si="22"/>
        <v>86.378737541528238</v>
      </c>
      <c r="K151" s="185">
        <f t="shared" si="22"/>
        <v>86.378737541528238</v>
      </c>
    </row>
    <row r="152" spans="1:11">
      <c r="A152" s="182">
        <v>3</v>
      </c>
      <c r="B152" s="183" t="s">
        <v>509</v>
      </c>
      <c r="C152" s="10" t="s">
        <v>16</v>
      </c>
      <c r="D152" s="186" t="e">
        <f t="shared" ref="D152:K152" si="23">D55</f>
        <v>#DIV/0!</v>
      </c>
      <c r="E152" s="186" t="e">
        <f t="shared" si="23"/>
        <v>#DIV/0!</v>
      </c>
      <c r="F152" s="186">
        <f t="shared" si="23"/>
        <v>0</v>
      </c>
      <c r="G152" s="186">
        <f t="shared" si="23"/>
        <v>0.16722408026755853</v>
      </c>
      <c r="H152" s="186">
        <f t="shared" si="23"/>
        <v>0.23529411764705879</v>
      </c>
      <c r="I152" s="186">
        <f t="shared" si="23"/>
        <v>0</v>
      </c>
      <c r="J152" s="186">
        <f t="shared" si="23"/>
        <v>0.19267822736030829</v>
      </c>
      <c r="K152" s="186">
        <f t="shared" si="23"/>
        <v>0.19267822736030829</v>
      </c>
    </row>
    <row r="153" spans="1:11">
      <c r="A153" s="182">
        <v>4</v>
      </c>
      <c r="B153" s="183" t="s">
        <v>510</v>
      </c>
      <c r="C153" s="10" t="s">
        <v>16</v>
      </c>
      <c r="D153" s="186" t="e">
        <f t="shared" ref="D153:K153" si="24">D60</f>
        <v>#DIV/0!</v>
      </c>
      <c r="E153" s="186" t="e">
        <f t="shared" si="24"/>
        <v>#DIV/0!</v>
      </c>
      <c r="F153" s="186" t="e">
        <f t="shared" si="24"/>
        <v>#DIV/0!</v>
      </c>
      <c r="G153" s="186">
        <f t="shared" si="24"/>
        <v>100</v>
      </c>
      <c r="H153" s="186">
        <f t="shared" si="24"/>
        <v>0.23474178403755869</v>
      </c>
      <c r="I153" s="186" t="e">
        <f t="shared" si="24"/>
        <v>#DIV/0!</v>
      </c>
      <c r="J153" s="186">
        <f t="shared" si="24"/>
        <v>0.19230769230769232</v>
      </c>
      <c r="K153" s="186" t="str">
        <f t="shared" si="24"/>
        <v>na</v>
      </c>
    </row>
    <row r="154" spans="1:11">
      <c r="A154" s="182">
        <v>5</v>
      </c>
      <c r="B154" s="183" t="s">
        <v>511</v>
      </c>
      <c r="C154" s="10" t="s">
        <v>16</v>
      </c>
      <c r="D154" s="184" t="e">
        <f t="shared" ref="D154:K154" si="25">D78</f>
        <v>#DIV/0!</v>
      </c>
      <c r="E154" s="184" t="e">
        <f t="shared" si="25"/>
        <v>#DIV/0!</v>
      </c>
      <c r="F154" s="184" t="e">
        <f t="shared" si="25"/>
        <v>#DIV/0!</v>
      </c>
      <c r="G154" s="184">
        <f t="shared" si="25"/>
        <v>0</v>
      </c>
      <c r="H154" s="184">
        <f t="shared" si="25"/>
        <v>0</v>
      </c>
      <c r="I154" s="184">
        <f t="shared" si="25"/>
        <v>0</v>
      </c>
      <c r="J154" s="184" t="str">
        <f t="shared" si="25"/>
        <v>na</v>
      </c>
      <c r="K154" s="184" t="str">
        <f t="shared" si="25"/>
        <v>na</v>
      </c>
    </row>
    <row r="155" spans="1:11">
      <c r="A155" s="182">
        <v>6</v>
      </c>
      <c r="B155" s="183" t="s">
        <v>512</v>
      </c>
      <c r="C155" s="10" t="s">
        <v>16</v>
      </c>
      <c r="D155" s="187" t="e">
        <f t="shared" ref="D155:K155" si="26">D88</f>
        <v>#DIV/0!</v>
      </c>
      <c r="E155" s="188" t="e">
        <f t="shared" si="26"/>
        <v>#DIV/0!</v>
      </c>
      <c r="F155" s="188" t="e">
        <f t="shared" si="26"/>
        <v>#DIV/0!</v>
      </c>
      <c r="G155" s="188">
        <f t="shared" si="26"/>
        <v>5.458393672719172</v>
      </c>
      <c r="H155" s="188">
        <f t="shared" si="26"/>
        <v>9.7760944636292759</v>
      </c>
      <c r="I155" s="188">
        <f t="shared" si="26"/>
        <v>5.7602304092163692</v>
      </c>
      <c r="J155" s="188">
        <f t="shared" si="26"/>
        <v>5.8311258278145699</v>
      </c>
      <c r="K155" s="188">
        <f t="shared" si="26"/>
        <v>6.5217391304347823</v>
      </c>
    </row>
    <row r="156" spans="1:11">
      <c r="A156" s="182">
        <v>7</v>
      </c>
      <c r="B156" s="183" t="s">
        <v>513</v>
      </c>
      <c r="C156" s="10" t="s">
        <v>16</v>
      </c>
      <c r="D156" s="184" t="e">
        <f t="shared" ref="D156:K156" si="27">D110</f>
        <v>#DIV/0!</v>
      </c>
      <c r="E156" s="184" t="e">
        <f t="shared" si="27"/>
        <v>#DIV/0!</v>
      </c>
      <c r="F156" s="184" t="e">
        <f t="shared" si="27"/>
        <v>#DIV/0!</v>
      </c>
      <c r="G156" s="184">
        <f t="shared" si="27"/>
        <v>39.061224489795919</v>
      </c>
      <c r="H156" s="184">
        <f t="shared" si="27"/>
        <v>41.613491340018236</v>
      </c>
      <c r="I156" s="184">
        <f t="shared" si="27"/>
        <v>47.041666666666664</v>
      </c>
      <c r="J156" s="184">
        <f t="shared" si="27"/>
        <v>52.810902896081778</v>
      </c>
      <c r="K156" s="184">
        <f t="shared" si="27"/>
        <v>55.476190476190474</v>
      </c>
    </row>
    <row r="157" spans="1:11">
      <c r="A157" s="182">
        <v>8</v>
      </c>
      <c r="B157" s="183" t="s">
        <v>217</v>
      </c>
      <c r="C157" s="10" t="s">
        <v>16</v>
      </c>
      <c r="D157" s="184" t="e">
        <f t="shared" ref="D157:K157" si="28">D83</f>
        <v>#DIV/0!</v>
      </c>
      <c r="E157" s="184" t="e">
        <f t="shared" si="28"/>
        <v>#DIV/0!</v>
      </c>
      <c r="F157" s="184">
        <f t="shared" si="28"/>
        <v>54.644808743169399</v>
      </c>
      <c r="G157" s="184">
        <f t="shared" si="28"/>
        <v>60</v>
      </c>
      <c r="H157" s="184">
        <f t="shared" si="28"/>
        <v>72.727272727272734</v>
      </c>
      <c r="I157" s="184">
        <f t="shared" si="28"/>
        <v>80</v>
      </c>
      <c r="J157" s="184">
        <f t="shared" si="28"/>
        <v>80</v>
      </c>
      <c r="K157" s="184">
        <f t="shared" si="28"/>
        <v>85</v>
      </c>
    </row>
    <row r="159" spans="1:11">
      <c r="A159" s="80" t="s">
        <v>2</v>
      </c>
      <c r="B159" s="88" t="s">
        <v>514</v>
      </c>
      <c r="C159" s="89"/>
      <c r="D159" s="82" t="str">
        <f>'General Info'!D4</f>
        <v>FY 2008-2009</v>
      </c>
      <c r="E159" s="82" t="str">
        <f>'General Info'!E4</f>
        <v>FY 2009-2010</v>
      </c>
      <c r="F159" s="82" t="str">
        <f>'General Info'!F4</f>
        <v>FY 2010-2011</v>
      </c>
      <c r="G159" s="82" t="str">
        <f>'General Info'!G4</f>
        <v>FY 2011-2012</v>
      </c>
      <c r="H159" s="82" t="str">
        <f>'General Info'!H4</f>
        <v>FY 2012-2013</v>
      </c>
      <c r="I159" s="82" t="str">
        <f>'General Info'!I4</f>
        <v>FY 2013-2014</v>
      </c>
      <c r="J159" s="82" t="str">
        <f>'General Info'!J4</f>
        <v>FY 2014-2015</v>
      </c>
      <c r="K159" s="82" t="str">
        <f>'General Info'!K4</f>
        <v>FY 2015-2016</v>
      </c>
    </row>
    <row r="160" spans="1:11">
      <c r="A160" s="83">
        <v>1</v>
      </c>
      <c r="B160" s="189" t="s">
        <v>507</v>
      </c>
      <c r="C160" s="190"/>
      <c r="D160" s="142"/>
      <c r="E160" s="142" t="str">
        <f>IF(Reliability!D27="Y","A",IF(Reliability!D28="Y","B",IF(Reliability!D29="Y","C","D")))</f>
        <v>D</v>
      </c>
      <c r="F160" s="142" t="str">
        <f>IF(Reliability!E27="Y","A",IF(Reliability!E28="Y","B",IF(Reliability!E29="Y","C","D")))</f>
        <v>D</v>
      </c>
      <c r="G160" s="142" t="str">
        <f>IF(Reliability!F27="Y","A",IF(Reliability!F28="Y","B",IF(Reliability!F29="Y","C","D")))</f>
        <v>D</v>
      </c>
      <c r="H160" s="142" t="str">
        <f>IF(Reliability!G27="Y","A",IF(Reliability!G28="Y","B",IF(Reliability!G29="Y","C","D")))</f>
        <v>D</v>
      </c>
      <c r="I160" s="142" t="str">
        <f>IF(Reliability!H27="Y","A",IF(Reliability!H28="Y","B",IF(Reliability!H29="Y","C","D")))</f>
        <v>D</v>
      </c>
      <c r="J160" s="142" t="str">
        <f>IF(Reliability!I27="Y","A",IF(Reliability!I28="Y","B",IF(Reliability!I29="Y","C","D")))</f>
        <v>B</v>
      </c>
      <c r="K160" s="142" t="str">
        <f>IF(Reliability!J27="Y","A",IF(Reliability!J28="Y","B",IF(Reliability!J29="Y","C","D")))</f>
        <v>B</v>
      </c>
    </row>
    <row r="161" spans="1:11">
      <c r="A161" s="83">
        <f t="shared" ref="A161:A167" si="29">A160+1</f>
        <v>2</v>
      </c>
      <c r="B161" s="91" t="s">
        <v>508</v>
      </c>
      <c r="C161" s="92"/>
      <c r="D161" s="141"/>
      <c r="E161" s="142" t="str">
        <f>IF(AND(Reliability!D132="Y",OR(Reliability!D138="Y",Reliability!D142="Y",Reliability!D146="Y")),"A",IF(AND(Reliability!D133="Y",OR(Reliability!D138="Y",Reliability!D142="Y",Reliability!D146="Y")),"B","D"))</f>
        <v>D</v>
      </c>
      <c r="F161" s="142" t="str">
        <f>IF(AND(Reliability!E132="Y",OR(Reliability!E138="Y",Reliability!E142="Y",Reliability!E146="Y")),"A",IF(AND(Reliability!E133="Y",OR(Reliability!E138="Y",Reliability!E142="Y",Reliability!E146="Y")),"B","D"))</f>
        <v>D</v>
      </c>
      <c r="G161" s="142" t="str">
        <f>IF(AND(Reliability!F132="Y",OR(Reliability!F138="Y",Reliability!F142="Y",Reliability!F146="Y")),"A",IF(AND(Reliability!F133="Y",OR(Reliability!F138="Y",Reliability!F142="Y",Reliability!F146="Y")),"B","D"))</f>
        <v>D</v>
      </c>
      <c r="H161" s="142" t="str">
        <f>IF(AND(Reliability!G132="Y",OR(Reliability!G138="Y",Reliability!G142="Y",Reliability!G146="Y")),"A",IF(AND(Reliability!G133="Y",OR(Reliability!G138="Y",Reliability!G142="Y",Reliability!G146="Y")),"B","D"))</f>
        <v>D</v>
      </c>
      <c r="I161" s="142" t="str">
        <f>IF(AND(Reliability!H132="Y",OR(Reliability!H138="Y",Reliability!H142="Y",Reliability!H146="Y")),"A",IF(AND(Reliability!H133="Y",OR(Reliability!H138="Y",Reliability!H142="Y",Reliability!H146="Y")),"B","D"))</f>
        <v>D</v>
      </c>
      <c r="J161" s="142" t="str">
        <f>IF(AND(Reliability!I132="Y",OR(Reliability!I138="Y",Reliability!I142="Y",Reliability!I146="Y")),"A",IF(AND(Reliability!I133="Y",OR(Reliability!I138="Y",Reliability!I142="Y",Reliability!I146="Y")),"B","D"))</f>
        <v>D</v>
      </c>
      <c r="K161" s="142" t="str">
        <f>IF(AND(Reliability!J132="Y",OR(Reliability!J138="Y",Reliability!J142="Y",Reliability!J146="Y")),"A",IF(AND(Reliability!J133="Y",OR(Reliability!J138="Y",Reliability!J142="Y",Reliability!J146="Y")),"B","D"))</f>
        <v>D</v>
      </c>
    </row>
    <row r="162" spans="1:11">
      <c r="A162" s="83">
        <f t="shared" si="29"/>
        <v>3</v>
      </c>
      <c r="B162" s="91" t="s">
        <v>509</v>
      </c>
      <c r="C162" s="92"/>
      <c r="D162" s="141"/>
      <c r="E162" s="142" t="str">
        <f>IF(AND(Reliability!D134="Y",swm!E58&gt;0,OR(Reliability!D150="Y",Reliability!D151="Y",Reliability!D152="Y",Reliability!D153="Y",Reliability!D154="Y",Reliability!D155="Y")),"A",IF(Reliability!D136="Y","B",IF(Reliability!D135="Y","C","D")))</f>
        <v>D</v>
      </c>
      <c r="F162" s="142" t="str">
        <f>IF(AND(Reliability!E134="Y",swm!F58&gt;0,OR(Reliability!E150="Y",Reliability!E151="Y",Reliability!E152="Y",Reliability!E153="Y",Reliability!E154="Y",Reliability!E155="Y")),"A",IF(Reliability!E136="Y","B",IF(Reliability!E135="Y","C","D")))</f>
        <v>D</v>
      </c>
      <c r="G162" s="142" t="str">
        <f>IF(AND(Reliability!F134="Y",swm!G58&gt;0,OR(Reliability!F150="Y",Reliability!F151="Y",Reliability!F152="Y",Reliability!F153="Y",Reliability!F154="Y",Reliability!F155="Y")),"A",IF(Reliability!F136="Y","B",IF(Reliability!F135="Y","C","D")))</f>
        <v>D</v>
      </c>
      <c r="H162" s="142" t="str">
        <f>IF(AND(Reliability!G134="Y",swm!H58&gt;0,OR(Reliability!G150="Y",Reliability!G151="Y",Reliability!G152="Y",Reliability!G153="Y",Reliability!G154="Y",Reliability!G155="Y")),"A",IF(Reliability!G136="Y","B",IF(Reliability!G135="Y","C","D")))</f>
        <v>D</v>
      </c>
      <c r="I162" s="142" t="str">
        <f>IF(AND(Reliability!H134="Y",swm!I58&gt;0,OR(Reliability!H150="Y",Reliability!H151="Y",Reliability!H152="Y",Reliability!H153="Y",Reliability!H154="Y",Reliability!H155="Y")),"A",IF(Reliability!H136="Y","B",IF(Reliability!H135="Y","C","D")))</f>
        <v>D</v>
      </c>
      <c r="J162" s="142" t="str">
        <f>IF(AND(Reliability!I134="Y",swm!J58&gt;0,OR(Reliability!I150="Y",Reliability!I151="Y",Reliability!I152="Y",Reliability!I153="Y",Reliability!I154="Y",Reliability!I155="Y")),"A",IF(Reliability!I136="Y","B",IF(Reliability!I135="Y","C","D")))</f>
        <v>D</v>
      </c>
      <c r="K162" s="142" t="str">
        <f>IF(AND(Reliability!J134="Y",swm!K58&gt;0,OR(Reliability!J150="Y",Reliability!J151="Y",Reliability!J152="Y",Reliability!J153="Y",Reliability!J154="Y",Reliability!J155="Y")),"A",IF(Reliability!J136="Y","B",IF(Reliability!J135="Y","C","D")))</f>
        <v>D</v>
      </c>
    </row>
    <row r="163" spans="1:11">
      <c r="A163" s="83">
        <f t="shared" si="29"/>
        <v>4</v>
      </c>
      <c r="B163" s="91" t="s">
        <v>510</v>
      </c>
      <c r="C163" s="92"/>
      <c r="D163" s="141"/>
      <c r="E163" s="142" t="str">
        <f>IF(AND(Reliability!D138="Y",swm!E58&gt;0,OR(Reliability!D150="Y",Reliability!D151="Y",Reliability!D152="Y",Reliability!D153="Y",Reliability!D154="Y",Reliability!D155="Y")),"A",IF(Reliability!D138="Y","B",IF(Reliability!D148="Y","C","D")))</f>
        <v>D</v>
      </c>
      <c r="F163" s="142" t="str">
        <f>IF(AND(Reliability!E138="Y",swm!F58&gt;0,OR(Reliability!E150="Y",Reliability!E151="Y",Reliability!E152="Y",Reliability!E153="Y",Reliability!E154="Y",Reliability!E155="Y")),"A",IF(Reliability!E138="Y","B",IF(Reliability!E148="Y","C","D")))</f>
        <v>D</v>
      </c>
      <c r="G163" s="142" t="str">
        <f>IF(AND(Reliability!F138="Y",swm!G58&gt;0,OR(Reliability!F150="Y",Reliability!F151="Y",Reliability!F152="Y",Reliability!F153="Y",Reliability!F154="Y",Reliability!F155="Y")),"A",IF(Reliability!F138="Y","B",IF(Reliability!F148="Y","C","D")))</f>
        <v>D</v>
      </c>
      <c r="H163" s="142" t="str">
        <f>IF(AND(Reliability!G138="Y",swm!H58&gt;0,OR(Reliability!G150="Y",Reliability!G151="Y",Reliability!G152="Y",Reliability!G153="Y",Reliability!G154="Y",Reliability!G155="Y")),"A",IF(Reliability!G138="Y","B",IF(Reliability!G148="Y","C","D")))</f>
        <v>D</v>
      </c>
      <c r="I163" s="142" t="str">
        <f>IF(AND(Reliability!H138="Y",swm!I58&gt;0,OR(Reliability!H150="Y",Reliability!H151="Y",Reliability!H152="Y",Reliability!H153="Y",Reliability!H154="Y",Reliability!H155="Y")),"A",IF(Reliability!H138="Y","B",IF(Reliability!H148="Y","C","D")))</f>
        <v>D</v>
      </c>
      <c r="J163" s="142" t="str">
        <f>IF(AND(Reliability!I138="Y",swm!J58&gt;0,OR(Reliability!I150="Y",Reliability!I151="Y",Reliability!I152="Y",Reliability!I153="Y",Reliability!I154="Y",Reliability!I155="Y")),"A",IF(Reliability!I138="Y","B",IF(Reliability!I148="Y","C","D")))</f>
        <v>D</v>
      </c>
      <c r="K163" s="142" t="str">
        <f>IF(AND(Reliability!J138="Y",swm!K58&gt;0,OR(Reliability!J150="Y",Reliability!J151="Y",Reliability!J152="Y",Reliability!J153="Y",Reliability!J154="Y",Reliability!J155="Y")),"A",IF(Reliability!J138="Y","B",IF(Reliability!J148="Y","C","D")))</f>
        <v>D</v>
      </c>
    </row>
    <row r="164" spans="1:11">
      <c r="A164" s="83">
        <f t="shared" si="29"/>
        <v>5</v>
      </c>
      <c r="B164" s="91" t="s">
        <v>511</v>
      </c>
      <c r="C164" s="92"/>
      <c r="D164" s="141"/>
      <c r="E164" s="142" t="str">
        <f>IF(AND(Reliability!D142="Y",OR(Reliability!D152="Y",Reliability!D153="Y")),"A",IF(Reliability!D153="Y","B",IF(Reliability!D144="Y","C","D")))</f>
        <v>D</v>
      </c>
      <c r="F164" s="142" t="str">
        <f>IF(AND(Reliability!E142="Y",OR(Reliability!E152="Y",Reliability!E153="Y")),"A",IF(Reliability!E153="Y","B",IF(Reliability!E144="Y","C","D")))</f>
        <v>D</v>
      </c>
      <c r="G164" s="142" t="str">
        <f>IF(AND(Reliability!F142="Y",OR(Reliability!F152="Y",Reliability!F153="Y")),"A",IF(Reliability!F153="Y","B",IF(Reliability!F144="Y","C","D")))</f>
        <v>D</v>
      </c>
      <c r="H164" s="142" t="str">
        <f>IF(AND(Reliability!G142="Y",OR(Reliability!G152="Y",Reliability!G153="Y")),"A",IF(Reliability!G153="Y","B",IF(Reliability!G144="Y","C","D")))</f>
        <v>D</v>
      </c>
      <c r="I164" s="142" t="str">
        <f>IF(AND(Reliability!H142="Y",OR(Reliability!H152="Y",Reliability!H153="Y")),"A",IF(Reliability!H153="Y","B",IF(Reliability!H144="Y","C","D")))</f>
        <v>D</v>
      </c>
      <c r="J164" s="142" t="str">
        <f>IF(AND(Reliability!I142="Y",OR(Reliability!I152="Y",Reliability!I153="Y")),"A",IF(Reliability!I153="Y","B",IF(Reliability!I144="Y","C","D")))</f>
        <v>D</v>
      </c>
      <c r="K164" s="142" t="str">
        <f>IF(AND(Reliability!J142="Y",OR(Reliability!J152="Y",Reliability!J153="Y")),"A",IF(Reliability!J153="Y","B",IF(Reliability!J144="Y","C","D")))</f>
        <v>D</v>
      </c>
    </row>
    <row r="165" spans="1:11">
      <c r="A165" s="83">
        <f t="shared" si="29"/>
        <v>6</v>
      </c>
      <c r="B165" s="91" t="s">
        <v>512</v>
      </c>
      <c r="C165" s="92"/>
      <c r="D165" s="141"/>
      <c r="E165" s="142" t="str">
        <f>IF(AND(Reliability!D157="Y",Reliability!D164="Y",Reliability!D166="Y",Reliability!D176="Y"),"A",IF(AND(Reliability!D157="Y",Reliability!D164="Y",Reliability!D166="Y"),"B","D"))</f>
        <v>D</v>
      </c>
      <c r="F165" s="142" t="str">
        <f>IF(AND(Reliability!E157="Y",Reliability!E164="Y",Reliability!E166="Y",Reliability!E176="Y"),"A",IF(AND(Reliability!E157="Y",Reliability!E164="Y",Reliability!E166="Y"),"B","D"))</f>
        <v>D</v>
      </c>
      <c r="G165" s="142" t="str">
        <f>IF(AND(Reliability!F157="Y",Reliability!F164="Y",Reliability!F166="Y",Reliability!F176="Y"),"A",IF(AND(Reliability!F157="Y",Reliability!F164="Y",Reliability!F166="Y"),"B","D"))</f>
        <v>D</v>
      </c>
      <c r="H165" s="142" t="str">
        <f>IF(AND(Reliability!G157="Y",Reliability!G164="Y",Reliability!G166="Y",Reliability!G176="Y"),"A",IF(AND(Reliability!G157="Y",Reliability!G164="Y",Reliability!G166="Y"),"B","D"))</f>
        <v>D</v>
      </c>
      <c r="I165" s="142" t="str">
        <f>IF(AND(Reliability!H157="Y",Reliability!H164="Y",Reliability!H166="Y",Reliability!H176="Y"),"A",IF(AND(Reliability!H157="Y",Reliability!H164="Y",Reliability!H166="Y"),"B","D"))</f>
        <v>D</v>
      </c>
      <c r="J165" s="142" t="str">
        <f>IF(AND(Reliability!I157="Y",Reliability!I164="Y",Reliability!I166="Y",Reliability!I176="Y"),"A",IF(AND(Reliability!I157="Y",Reliability!I164="Y",Reliability!I166="Y"),"B","D"))</f>
        <v>D</v>
      </c>
      <c r="K165" s="142" t="str">
        <f>IF(AND(Reliability!J157="Y",Reliability!J164="Y",Reliability!J166="Y",Reliability!J176="Y"),"A",IF(AND(Reliability!J157="Y",Reliability!J164="Y",Reliability!J166="Y"),"B","D"))</f>
        <v>D</v>
      </c>
    </row>
    <row r="166" spans="1:11">
      <c r="A166" s="83">
        <f t="shared" si="29"/>
        <v>7</v>
      </c>
      <c r="B166" s="91" t="s">
        <v>513</v>
      </c>
      <c r="C166" s="92"/>
      <c r="D166" s="141"/>
      <c r="E166" s="142" t="str">
        <f>IF(AND(Reliability!D158="Y",Reliability!D166="Y",Reliability!D171="Y"),"A",IF(AND(Reliability!D158="Y",Reliability!D166="Y"),"B","D"))</f>
        <v>D</v>
      </c>
      <c r="F166" s="142" t="str">
        <f>IF(AND(Reliability!E158="Y",Reliability!E166="Y",Reliability!E171="Y"),"A",IF(AND(Reliability!E158="Y",Reliability!E166="Y"),"B","D"))</f>
        <v>D</v>
      </c>
      <c r="G166" s="142" t="str">
        <f>IF(AND(Reliability!F158="Y",Reliability!F166="Y",Reliability!F171="Y"),"A",IF(AND(Reliability!F158="Y",Reliability!F166="Y"),"B","D"))</f>
        <v>D</v>
      </c>
      <c r="H166" s="142" t="str">
        <f>IF(AND(Reliability!G158="Y",Reliability!G166="Y",Reliability!G171="Y"),"A",IF(AND(Reliability!G158="Y",Reliability!G166="Y"),"B","D"))</f>
        <v>D</v>
      </c>
      <c r="I166" s="142" t="str">
        <f>IF(AND(Reliability!H158="Y",Reliability!H166="Y",Reliability!H171="Y"),"A",IF(AND(Reliability!H158="Y",Reliability!H166="Y"),"B","D"))</f>
        <v>D</v>
      </c>
      <c r="J166" s="142" t="str">
        <f>IF(AND(Reliability!I158="Y",Reliability!I166="Y",Reliability!I171="Y"),"A",IF(AND(Reliability!I158="Y",Reliability!I166="Y"),"B","D"))</f>
        <v>D</v>
      </c>
      <c r="K166" s="142" t="str">
        <f>IF(AND(Reliability!J158="Y",Reliability!J166="Y",Reliability!J171="Y"),"A",IF(AND(Reliability!J158="Y",Reliability!J166="Y"),"B","D"))</f>
        <v>D</v>
      </c>
    </row>
    <row r="167" spans="1:11">
      <c r="A167" s="83">
        <f t="shared" si="29"/>
        <v>8</v>
      </c>
      <c r="B167" s="91" t="s">
        <v>217</v>
      </c>
      <c r="C167" s="92"/>
      <c r="D167" s="141"/>
      <c r="E167" s="142" t="str">
        <f>IF(AND(Reliability!D182="Y",OR(Reliability!D188="Y",Reliability!D189="Y"),Reliability!D193="Y",Reliability!D197="Y"),"A",IF(AND(Reliability!D182="Y",Reliability!D197="Y"),"B",IF(Reliability!D182="Y","C","D")))</f>
        <v>D</v>
      </c>
      <c r="F167" s="142" t="str">
        <f>IF(AND(Reliability!E182="Y",OR(Reliability!E188="Y",Reliability!E189="Y"),Reliability!E193="Y",Reliability!E197="Y"),"A",IF(AND(Reliability!E182="Y",Reliability!E197="Y"),"B",IF(Reliability!E182="Y","C","D")))</f>
        <v>D</v>
      </c>
      <c r="G167" s="142" t="str">
        <f>IF(AND(Reliability!F182="Y",OR(Reliability!F188="Y",Reliability!F189="Y"),Reliability!F193="Y",Reliability!F197="Y"),"A",IF(AND(Reliability!F182="Y",Reliability!F197="Y"),"B",IF(Reliability!F182="Y","C","D")))</f>
        <v>D</v>
      </c>
      <c r="H167" s="142" t="str">
        <f>IF(AND(Reliability!G182="Y",OR(Reliability!G188="Y",Reliability!G189="Y"),Reliability!G193="Y",Reliability!G197="Y"),"A",IF(AND(Reliability!G182="Y",Reliability!G197="Y"),"B",IF(Reliability!G182="Y","C","D")))</f>
        <v>D</v>
      </c>
      <c r="I167" s="142" t="str">
        <f>IF(AND(Reliability!H182="Y",OR(Reliability!H188="Y",Reliability!H189="Y"),Reliability!H193="Y",Reliability!H197="Y"),"A",IF(AND(Reliability!H182="Y",Reliability!H197="Y"),"B",IF(Reliability!H182="Y","C","D")))</f>
        <v>D</v>
      </c>
      <c r="J167" s="142" t="str">
        <f>IF(AND(Reliability!I182="Y",OR(Reliability!I188="Y",Reliability!I189="Y"),Reliability!I193="Y",Reliability!I197="Y"),"A",IF(AND(Reliability!I182="Y",Reliability!I197="Y"),"B",IF(Reliability!I182="Y","C","D")))</f>
        <v>B</v>
      </c>
      <c r="K167" s="142" t="str">
        <f>IF(AND(Reliability!J182="Y",OR(Reliability!J188="Y",Reliability!J189="Y"),Reliability!J193="Y",Reliability!J197="Y"),"A",IF(AND(Reliability!J182="Y",Reliability!J197="Y"),"B",IF(Reliability!J182="Y","C","D")))</f>
        <v>B</v>
      </c>
    </row>
    <row r="169" spans="1:11">
      <c r="A169" s="181" t="s">
        <v>2</v>
      </c>
      <c r="B169" s="81" t="s">
        <v>223</v>
      </c>
      <c r="C169" s="82" t="s">
        <v>4</v>
      </c>
      <c r="D169" s="82" t="str">
        <f>'General Info'!D4</f>
        <v>FY 2008-2009</v>
      </c>
      <c r="E169" s="82" t="str">
        <f>'General Info'!E4</f>
        <v>FY 2009-2010</v>
      </c>
      <c r="F169" s="82" t="str">
        <f>'General Info'!F4</f>
        <v>FY 2010-2011</v>
      </c>
      <c r="G169" s="82" t="str">
        <f>'General Info'!G4</f>
        <v>FY 2011-2012</v>
      </c>
      <c r="H169" s="82" t="str">
        <f>'General Info'!H4</f>
        <v>FY 2012-2013</v>
      </c>
      <c r="I169" s="82" t="str">
        <f>'General Info'!I4</f>
        <v>FY 2013-2014</v>
      </c>
      <c r="J169" s="82" t="str">
        <f>'General Info'!J4</f>
        <v>FY 2014-2015</v>
      </c>
      <c r="K169" s="82" t="str">
        <f>'General Info'!K4</f>
        <v>FY 2015-2016</v>
      </c>
    </row>
    <row r="170" spans="1:11">
      <c r="A170" s="182">
        <v>1</v>
      </c>
      <c r="B170" s="183" t="s">
        <v>515</v>
      </c>
      <c r="C170" s="191" t="s">
        <v>244</v>
      </c>
      <c r="D170" s="184" t="e">
        <f>IF(OR('Equity Related Information'!D181="na",'Equity Related Information'!D182="na"),"na",IF(OR('Equity Related Information'!D181="nd",'Equity Related Information'!D182="nd"),"nd",'Equity Related Information'!D181/'Equity Related Information'!D182))</f>
        <v>#DIV/0!</v>
      </c>
      <c r="E170" s="184" t="e">
        <f>IF(OR('Equity Related Information'!E181="na",'Equity Related Information'!E182="na"),"na",IF(OR('Equity Related Information'!E181="nd",'Equity Related Information'!E182="nd"),"nd",'Equity Related Information'!E181/'Equity Related Information'!E182))</f>
        <v>#DIV/0!</v>
      </c>
      <c r="F170" s="184" t="e">
        <f>IF(OR('Equity Related Information'!F181="na",'Equity Related Information'!F182="na"),"na",IF(OR('Equity Related Information'!F181="nd",'Equity Related Information'!F182="nd"),"nd",'Equity Related Information'!F181/'Equity Related Information'!F182))</f>
        <v>#DIV/0!</v>
      </c>
      <c r="G170" s="184" t="e">
        <f>IF(OR('Equity Related Information'!G181="na",'Equity Related Information'!G182="na"),"na",IF(OR('Equity Related Information'!G181="nd",'Equity Related Information'!G182="nd"),"nd",'Equity Related Information'!G181/'Equity Related Information'!G182))</f>
        <v>#DIV/0!</v>
      </c>
      <c r="H170" s="184" t="e">
        <f>IF(OR('Equity Related Information'!H181="na",'Equity Related Information'!H182="na"),"na",IF(OR('Equity Related Information'!H181="nd",'Equity Related Information'!H182="nd"),"nd",'Equity Related Information'!H181/'Equity Related Information'!H182))</f>
        <v>#DIV/0!</v>
      </c>
      <c r="I170" s="184">
        <f>IF(OR('Equity Related Information'!I181="na",'Equity Related Information'!I182="na"),"na",IF(OR('Equity Related Information'!I181="nd",'Equity Related Information'!I182="nd"),"nd",'Equity Related Information'!I181/'Equity Related Information'!I182))</f>
        <v>1.4857142857142858</v>
      </c>
      <c r="J170" s="184">
        <f>IF(OR('Equity Related Information'!J181="na",'Equity Related Information'!J182="na"),"na",IF(OR('Equity Related Information'!J181="nd",'Equity Related Information'!J182="nd"),"nd",'Equity Related Information'!J181/'Equity Related Information'!J182))</f>
        <v>1.164179104477612</v>
      </c>
      <c r="K170" s="184">
        <f>IF(OR('Equity Related Information'!K181="na",'Equity Related Information'!K182="na"),"na",IF(OR('Equity Related Information'!K181="nd",'Equity Related Information'!K182="nd"),"nd",'Equity Related Information'!K181/'Equity Related Information'!K182))</f>
        <v>1.1555555555555554</v>
      </c>
    </row>
    <row r="171" spans="1:11">
      <c r="A171" s="182">
        <v>2</v>
      </c>
      <c r="B171" s="183" t="s">
        <v>516</v>
      </c>
      <c r="C171" s="191" t="s">
        <v>237</v>
      </c>
      <c r="D171" s="184">
        <f>IF('Equity Related Information'!D185="nd","nd",'Equity Related Information'!D185)</f>
        <v>0</v>
      </c>
      <c r="E171" s="184">
        <f>IF('Equity Related Information'!E185="nd","nd",'Equity Related Information'!E185)</f>
        <v>0</v>
      </c>
      <c r="F171" s="184">
        <f>IF('Equity Related Information'!F185="nd","nd",'Equity Related Information'!F185)</f>
        <v>0</v>
      </c>
      <c r="G171" s="184">
        <f>IF('Equity Related Information'!G185="nd","nd",'Equity Related Information'!G185)</f>
        <v>0</v>
      </c>
      <c r="H171" s="184">
        <f>IF('Equity Related Information'!H185="nd","nd",'Equity Related Information'!H185)</f>
        <v>0</v>
      </c>
      <c r="I171" s="184">
        <f>IF('Equity Related Information'!I185="nd","nd",'Equity Related Information'!I185)</f>
        <v>1</v>
      </c>
      <c r="J171" s="184">
        <f>IF('Equity Related Information'!J185="nd","nd",'Equity Related Information'!J185)</f>
        <v>2</v>
      </c>
      <c r="K171" s="184">
        <f>IF('Equity Related Information'!K185="nd","nd",'Equity Related Information'!K185)</f>
        <v>2</v>
      </c>
    </row>
    <row r="172" spans="1:11">
      <c r="A172" s="182">
        <v>3</v>
      </c>
      <c r="B172" s="183" t="s">
        <v>517</v>
      </c>
      <c r="C172" s="191" t="s">
        <v>16</v>
      </c>
      <c r="D172" s="184" t="e">
        <f t="shared" ref="D172:I172" si="30">IF(D72="na","na",IF(OR(D72="nd",D23="nd"),"nd",D72/D23*100))</f>
        <v>#DIV/0!</v>
      </c>
      <c r="E172" s="184" t="e">
        <f t="shared" si="30"/>
        <v>#DIV/0!</v>
      </c>
      <c r="F172" s="184">
        <f t="shared" si="30"/>
        <v>0</v>
      </c>
      <c r="G172" s="184">
        <f t="shared" si="30"/>
        <v>0</v>
      </c>
      <c r="H172" s="184">
        <f t="shared" si="30"/>
        <v>0</v>
      </c>
      <c r="I172" s="184">
        <f t="shared" si="30"/>
        <v>0</v>
      </c>
      <c r="J172" s="184">
        <f>IF(J72="na","na",IF(OR(J72="nd",J23="nd"),"nd",J72/J23*100))</f>
        <v>0</v>
      </c>
      <c r="K172" s="184" t="str">
        <f>IF(K72="na","na",IF(OR(K72="nd",K23="nd"),"nd",K72/K23*100))</f>
        <v>na</v>
      </c>
    </row>
    <row r="173" spans="1:11">
      <c r="A173" s="182">
        <v>4</v>
      </c>
      <c r="B173" s="183" t="s">
        <v>518</v>
      </c>
      <c r="C173" s="191" t="s">
        <v>16</v>
      </c>
      <c r="D173" s="184" t="e">
        <f t="shared" ref="D173:I173" si="31">IF(OR(D73="na",D72="na"),"na",IF(OR(D73="nd",D72="nd"),"nd",D73/D72*100))</f>
        <v>#DIV/0!</v>
      </c>
      <c r="E173" s="184" t="e">
        <f t="shared" si="31"/>
        <v>#DIV/0!</v>
      </c>
      <c r="F173" s="184" t="e">
        <f t="shared" si="31"/>
        <v>#DIV/0!</v>
      </c>
      <c r="G173" s="184" t="e">
        <f t="shared" si="31"/>
        <v>#DIV/0!</v>
      </c>
      <c r="H173" s="184" t="e">
        <f t="shared" si="31"/>
        <v>#DIV/0!</v>
      </c>
      <c r="I173" s="184" t="e">
        <f t="shared" si="31"/>
        <v>#DIV/0!</v>
      </c>
      <c r="J173" s="184" t="e">
        <f>IF(OR(J73="na",J72="na"),"na",IF(OR(J73="nd",J72="nd"),"nd",J73/J72*100))</f>
        <v>#DIV/0!</v>
      </c>
      <c r="K173" s="184" t="str">
        <f>IF(OR(K73="na",K72="na"),"na",IF(OR(K73="nd",K72="nd"),"nd",K73/K72*100))</f>
        <v>na</v>
      </c>
    </row>
    <row r="174" spans="1:11">
      <c r="A174" s="182">
        <v>5</v>
      </c>
      <c r="B174" s="183" t="s">
        <v>519</v>
      </c>
      <c r="C174" s="191" t="s">
        <v>227</v>
      </c>
      <c r="D174" s="184" t="str">
        <f>IF(OR('Equity Related Information'!D187="Y",'Equity Related Information'!D188="Y"),"Y","N")</f>
        <v>N</v>
      </c>
      <c r="E174" s="184" t="str">
        <f>IF(OR('Equity Related Information'!E187="Y",'Equity Related Information'!E188="Y"),"Y","N")</f>
        <v>N</v>
      </c>
      <c r="F174" s="184" t="str">
        <f>IF(OR('Equity Related Information'!F187="Y",'Equity Related Information'!F188="Y"),"Y","N")</f>
        <v>N</v>
      </c>
      <c r="G174" s="184" t="str">
        <f>IF(OR('Equity Related Information'!G187="Y",'Equity Related Information'!G188="Y"),"Y","N")</f>
        <v>N</v>
      </c>
      <c r="H174" s="184" t="str">
        <f>IF(OR('Equity Related Information'!H186="Y",'Equity Related Information'!H187="Y"),"Y","N")</f>
        <v>N</v>
      </c>
      <c r="I174" s="184" t="str">
        <f>IF(OR('Equity Related Information'!J187="Y",'Equity Related Information'!J188="Y"),"Y","N")</f>
        <v>N</v>
      </c>
      <c r="J174" s="184" t="str">
        <f>IF(OR('Equity Related Information'!K187="Y",'Equity Related Information'!K188="Y"),"Y","N")</f>
        <v>N</v>
      </c>
      <c r="K174" s="184" t="str">
        <f>IF(OR('Equity Related Information'!L187="Y",'Equity Related Information'!L188="Y"),"Y","N")</f>
        <v>N</v>
      </c>
    </row>
    <row r="175" spans="1:11">
      <c r="A175" s="182">
        <v>6</v>
      </c>
      <c r="B175" s="183" t="s">
        <v>520</v>
      </c>
      <c r="C175" s="191" t="s">
        <v>227</v>
      </c>
      <c r="D175" s="184" t="str">
        <f>IF(OR('Equity Related Information'!D189="Y",'Equity Related Information'!D190="Y"),"Y","N")</f>
        <v>N</v>
      </c>
      <c r="E175" s="184" t="str">
        <f>IF(OR('Equity Related Information'!E189="Y",'Equity Related Information'!E190="Y"),"Y","N")</f>
        <v>N</v>
      </c>
      <c r="F175" s="184" t="str">
        <f>IF(OR('Equity Related Information'!F189="Y",'Equity Related Information'!F190="Y"),"Y","N")</f>
        <v>N</v>
      </c>
      <c r="G175" s="184" t="str">
        <f>IF(OR('Equity Related Information'!G189="Y",'Equity Related Information'!G190="Y"),"Y","N")</f>
        <v>N</v>
      </c>
      <c r="H175" s="184" t="str">
        <f>IF(OR('Equity Related Information'!H188="Y",'Equity Related Information'!H189="Y"),"Y","N")</f>
        <v>N</v>
      </c>
      <c r="I175" s="184" t="str">
        <f>IF(OR('Equity Related Information'!I189="Y",'Equity Related Information'!I190="Y"),"Y","N")</f>
        <v>N</v>
      </c>
      <c r="J175" s="184" t="str">
        <f>IF(OR('Equity Related Information'!J189="Y",'Equity Related Information'!J190="Y"),"Y","N")</f>
        <v>N</v>
      </c>
      <c r="K175" s="184" t="str">
        <f>IF(OR('Equity Related Information'!K189="Y",'Equity Related Information'!K190="Y"),"Y","N")</f>
        <v>N</v>
      </c>
    </row>
    <row r="176" spans="1:11">
      <c r="A176" s="182">
        <v>7</v>
      </c>
      <c r="B176" s="183" t="s">
        <v>521</v>
      </c>
      <c r="C176" s="191" t="s">
        <v>522</v>
      </c>
      <c r="D176" s="184" t="e">
        <f t="shared" ref="D176:I176" si="32">IF(D27="nd",IF(OR(D97="nd",D53="nd"),"nd",(D97*30*10^5)/(365*D53)),(D97*30*10^5)/(365*D27))</f>
        <v>#DIV/0!</v>
      </c>
      <c r="E176" s="184" t="e">
        <f t="shared" si="32"/>
        <v>#DIV/0!</v>
      </c>
      <c r="F176" s="184" t="e">
        <f t="shared" si="32"/>
        <v>#DIV/0!</v>
      </c>
      <c r="G176" s="184">
        <f t="shared" si="32"/>
        <v>1844589.0410958901</v>
      </c>
      <c r="H176" s="184">
        <f t="shared" si="32"/>
        <v>2886.6808154865262</v>
      </c>
      <c r="I176" s="184" t="e">
        <f t="shared" si="32"/>
        <v>#DIV/0!</v>
      </c>
      <c r="J176" s="184">
        <f>IF(J27="nd",IF(OR(J97="nd",J53="nd"),"nd",(J97*30*10^5)/(365*J53)),(J97*30*10^5)/(365*J27))</f>
        <v>1591.1485774499474</v>
      </c>
      <c r="K176" s="184">
        <f>IF(K27="nd",IF(OR(K97="nd",K53="nd"),"nd",(K97*30*10^5)/(365*K53)),(K97*30*10^5)/(365*K27))</f>
        <v>1696.5226554267649</v>
      </c>
    </row>
    <row r="177" spans="1:11">
      <c r="A177" s="182">
        <v>8</v>
      </c>
      <c r="B177" s="183" t="s">
        <v>523</v>
      </c>
      <c r="C177" s="191" t="s">
        <v>16</v>
      </c>
      <c r="D177" s="184" t="e">
        <f t="shared" ref="D177:I177" si="33">IF(OR(D131="na",D132="na"),"na",IF(OR(D132="nd",D131="nd"),"nd",D132/D131*100))</f>
        <v>#DIV/0!</v>
      </c>
      <c r="E177" s="184" t="e">
        <f t="shared" si="33"/>
        <v>#DIV/0!</v>
      </c>
      <c r="F177" s="184" t="e">
        <f t="shared" si="33"/>
        <v>#DIV/0!</v>
      </c>
      <c r="G177" s="184">
        <f t="shared" si="33"/>
        <v>112.96296296296295</v>
      </c>
      <c r="H177" s="184">
        <f t="shared" si="33"/>
        <v>112.96296296296295</v>
      </c>
      <c r="I177" s="184">
        <f t="shared" si="33"/>
        <v>96.825396825396822</v>
      </c>
      <c r="J177" s="184">
        <f>IF(OR(J131="na",J132="na"),"na",IF(OR(J132="nd",J131="nd"),"nd",J132/J131*100))</f>
        <v>97.560975609756099</v>
      </c>
      <c r="K177" s="184">
        <f>IF(OR(K131="na",K132="na"),"na",IF(OR(K132="nd",K131="nd"),"nd",K132/K131*100))</f>
        <v>97.560975609756099</v>
      </c>
    </row>
    <row r="178" spans="1:11">
      <c r="A178" s="182">
        <v>9</v>
      </c>
      <c r="B178" s="183" t="s">
        <v>524</v>
      </c>
      <c r="C178" s="191" t="s">
        <v>244</v>
      </c>
      <c r="D178" s="184" t="e">
        <f t="shared" ref="D178:I178" si="34">IF(D132="na","na",IF(OR(D132="nd",D12="nd"),"nd",D132/(D12/1000)))</f>
        <v>#DIV/0!</v>
      </c>
      <c r="E178" s="184" t="e">
        <f t="shared" si="34"/>
        <v>#DIV/0!</v>
      </c>
      <c r="F178" s="184">
        <f t="shared" si="34"/>
        <v>0</v>
      </c>
      <c r="G178" s="184">
        <f t="shared" si="34"/>
        <v>21.217391304347824</v>
      </c>
      <c r="H178" s="184">
        <f t="shared" si="34"/>
        <v>19.477927676219366</v>
      </c>
      <c r="I178" s="184">
        <f t="shared" si="34"/>
        <v>17.054588662892289</v>
      </c>
      <c r="J178" s="184">
        <f>IF(J132="na","na",IF(OR(J132="nd",J12="nd"),"nd",J132/(J12/1000)))</f>
        <v>10.648918469217969</v>
      </c>
      <c r="K178" s="184">
        <f>IF(K132="na","na",IF(OR(K132="nd",K12="nd"),"nd",K132/(K12/1000)))</f>
        <v>10.025062656641603</v>
      </c>
    </row>
    <row r="179" spans="1:11">
      <c r="A179" s="182">
        <v>10</v>
      </c>
      <c r="B179" s="183" t="s">
        <v>525</v>
      </c>
      <c r="C179" s="191" t="s">
        <v>199</v>
      </c>
      <c r="D179" s="184" t="e">
        <f t="shared" ref="D179:I179" si="35">IF(D114="na","na",IF(OR(D114="nd",D12="nd"),"nd",D114*10^5/D12))</f>
        <v>#DIV/0!</v>
      </c>
      <c r="E179" s="184" t="e">
        <f t="shared" si="35"/>
        <v>#DIV/0!</v>
      </c>
      <c r="F179" s="184">
        <f t="shared" si="35"/>
        <v>0</v>
      </c>
      <c r="G179" s="184">
        <f t="shared" si="35"/>
        <v>83.217391304347828</v>
      </c>
      <c r="H179" s="184">
        <f t="shared" si="35"/>
        <v>145.76514728187118</v>
      </c>
      <c r="I179" s="184">
        <f t="shared" si="35"/>
        <v>78.912420493464737</v>
      </c>
      <c r="J179" s="184">
        <f>IF(J114="na","na",IF(OR(J114="nd",J12="nd"),"nd",J114*10^5/J12))</f>
        <v>61.89683860232946</v>
      </c>
      <c r="K179" s="184">
        <f>IF(K114="na","na",IF(OR(K114="nd",K12="nd"),"nd",K114*10^5/K12))</f>
        <v>72.994987468671681</v>
      </c>
    </row>
    <row r="180" spans="1:11">
      <c r="A180" s="182">
        <v>11</v>
      </c>
      <c r="B180" s="183" t="s">
        <v>526</v>
      </c>
      <c r="C180" s="191" t="s">
        <v>244</v>
      </c>
      <c r="D180" s="184" t="e">
        <f t="shared" ref="D180:I180" si="36">IF(D85="na","na",IF(OR(D85="nd",D12="nd"),"nd",D85/(D12/1000)))</f>
        <v>#DIV/0!</v>
      </c>
      <c r="E180" s="184" t="e">
        <f t="shared" si="36"/>
        <v>#DIV/0!</v>
      </c>
      <c r="F180" s="184">
        <f t="shared" si="36"/>
        <v>68.198757763975152</v>
      </c>
      <c r="G180" s="184">
        <f t="shared" si="36"/>
        <v>43.478260869565219</v>
      </c>
      <c r="H180" s="184">
        <f t="shared" si="36"/>
        <v>43.905164843937101</v>
      </c>
      <c r="I180" s="184">
        <f t="shared" si="36"/>
        <v>419.37513105472846</v>
      </c>
      <c r="J180" s="184">
        <f>IF(J85="na","na",IF(OR(J85="nd",J12="nd"),"nd",J85/(J12/1000)))</f>
        <v>239.60066555740431</v>
      </c>
      <c r="K180" s="184">
        <f>IF(K85="na","na",IF(OR(K85="nd",K12="nd"),"nd",K85/(K12/1000)))</f>
        <v>233.08270676691728</v>
      </c>
    </row>
    <row r="181" spans="1:11">
      <c r="A181" s="182">
        <v>12</v>
      </c>
      <c r="B181" s="183" t="s">
        <v>263</v>
      </c>
      <c r="C181" s="191" t="s">
        <v>16</v>
      </c>
      <c r="D181" s="184" t="e">
        <f t="shared" ref="D181:I181" si="37">IF(OR(D100="nd",D108="nd"),"nd",D100/SUM(D100,D108)*100)</f>
        <v>#DIV/0!</v>
      </c>
      <c r="E181" s="184" t="e">
        <f t="shared" si="37"/>
        <v>#DIV/0!</v>
      </c>
      <c r="F181" s="184" t="e">
        <f t="shared" si="37"/>
        <v>#DIV/0!</v>
      </c>
      <c r="G181" s="184">
        <f t="shared" si="37"/>
        <v>31.982232093281514</v>
      </c>
      <c r="H181" s="184">
        <f t="shared" si="37"/>
        <v>0</v>
      </c>
      <c r="I181" s="184">
        <f t="shared" si="37"/>
        <v>40.298507462686558</v>
      </c>
      <c r="J181" s="184">
        <f>IF(OR(J100="nd",J108="nd"),"nd",J100/SUM(J100,J108)*100)</f>
        <v>41.005025125628144</v>
      </c>
      <c r="K181" s="184">
        <f>IF(OR(K100="nd",K108="nd"),"nd",K100/SUM(K100,K108)*100)</f>
        <v>42.402633022490399</v>
      </c>
    </row>
  </sheetData>
  <mergeCells count="9">
    <mergeCell ref="A1:K1"/>
    <mergeCell ref="A3:K3"/>
    <mergeCell ref="A98:E98"/>
    <mergeCell ref="A115:E115"/>
    <mergeCell ref="A116:E116"/>
    <mergeCell ref="A2:E2"/>
    <mergeCell ref="A59:E59"/>
    <mergeCell ref="A82:E82"/>
    <mergeCell ref="A87:E87"/>
  </mergeCells>
  <pageMargins left="0.16" right="0.17" top="0.75" bottom="0.75" header="0.51180555555555596" footer="0.51180555555555596"/>
  <pageSetup scale="55" firstPageNumber="0" orientation="portrait" horizontalDpi="300" verticalDpi="300" r:id="rId1"/>
  <headerFooter alignWithMargins="0"/>
  <rowBreaks count="3" manualBreakCount="3">
    <brk id="59" max="16383" man="1"/>
    <brk id="115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294"/>
  <sheetViews>
    <sheetView workbookViewId="0">
      <selection sqref="A1:K1"/>
    </sheetView>
  </sheetViews>
  <sheetFormatPr defaultRowHeight="12.75"/>
  <cols>
    <col min="1" max="1" width="9.140625" style="1" bestFit="1" customWidth="1"/>
    <col min="2" max="2" width="74.85546875" style="419" bestFit="1" customWidth="1"/>
    <col min="3" max="3" width="12.28515625" style="1" bestFit="1" customWidth="1"/>
    <col min="4" max="11" width="11.140625" style="1" bestFit="1" customWidth="1"/>
    <col min="12" max="12" width="9.140625" style="1" bestFit="1"/>
    <col min="13" max="16384" width="9.140625" style="1"/>
  </cols>
  <sheetData>
    <row r="1" spans="1:11" ht="15.75">
      <c r="A1" s="441" t="s">
        <v>0</v>
      </c>
      <c r="B1" s="442"/>
      <c r="C1" s="442"/>
      <c r="D1" s="442"/>
      <c r="E1" s="442"/>
      <c r="F1" s="442"/>
      <c r="G1" s="442"/>
      <c r="H1" s="442"/>
      <c r="I1" s="442"/>
      <c r="J1" s="442"/>
      <c r="K1" s="443"/>
    </row>
    <row r="2" spans="1:11" ht="15.75">
      <c r="A2" s="444"/>
      <c r="B2" s="427"/>
      <c r="C2" s="427"/>
      <c r="D2" s="427"/>
      <c r="E2" s="427"/>
      <c r="F2" s="427"/>
      <c r="G2" s="427"/>
      <c r="H2" s="427"/>
      <c r="I2" s="427"/>
      <c r="J2" s="427"/>
      <c r="K2" s="445"/>
    </row>
    <row r="3" spans="1:11" ht="15.75">
      <c r="A3" s="446" t="s">
        <v>527</v>
      </c>
      <c r="B3" s="429"/>
      <c r="C3" s="429"/>
      <c r="D3" s="429"/>
      <c r="E3" s="429"/>
      <c r="F3" s="429"/>
      <c r="G3" s="429"/>
      <c r="H3" s="429"/>
      <c r="I3" s="429"/>
      <c r="J3" s="429"/>
      <c r="K3" s="447"/>
    </row>
    <row r="4" spans="1:11">
      <c r="A4" s="302" t="s">
        <v>2</v>
      </c>
      <c r="B4" s="387" t="s">
        <v>3</v>
      </c>
      <c r="C4" s="192" t="s">
        <v>4</v>
      </c>
      <c r="D4" s="192" t="str">
        <f>'General Info'!D4</f>
        <v>FY 2008-2009</v>
      </c>
      <c r="E4" s="192" t="str">
        <f>'General Info'!E4</f>
        <v>FY 2009-2010</v>
      </c>
      <c r="F4" s="192" t="str">
        <f>'General Info'!F4</f>
        <v>FY 2010-2011</v>
      </c>
      <c r="G4" s="192" t="str">
        <f>'General Info'!G4</f>
        <v>FY 2011-2012</v>
      </c>
      <c r="H4" s="192" t="str">
        <f>'General Info'!H4</f>
        <v>FY 2012-2013</v>
      </c>
      <c r="I4" s="192" t="str">
        <f>'General Info'!I4</f>
        <v>FY 2013-2014</v>
      </c>
      <c r="J4" s="303" t="str">
        <f>'General Info'!J4</f>
        <v>FY 2014-2015</v>
      </c>
      <c r="K4" s="303" t="str">
        <f>'General Info'!K4</f>
        <v>FY 2015-2016</v>
      </c>
    </row>
    <row r="5" spans="1:11">
      <c r="A5" s="304">
        <v>1</v>
      </c>
      <c r="B5" s="439" t="s">
        <v>528</v>
      </c>
      <c r="C5" s="439"/>
      <c r="D5" s="439"/>
      <c r="E5" s="439"/>
      <c r="F5" s="193"/>
      <c r="G5" s="193"/>
      <c r="H5" s="193"/>
      <c r="I5" s="193"/>
      <c r="J5" s="305"/>
      <c r="K5" s="305"/>
    </row>
    <row r="6" spans="1:11">
      <c r="A6" s="306"/>
      <c r="B6" s="388" t="s">
        <v>529</v>
      </c>
      <c r="C6" s="194"/>
      <c r="D6" s="195"/>
      <c r="E6" s="195"/>
      <c r="F6" s="195"/>
      <c r="G6" s="195"/>
      <c r="H6" s="195"/>
      <c r="I6" s="195"/>
      <c r="J6" s="307"/>
      <c r="K6" s="307"/>
    </row>
    <row r="7" spans="1:11">
      <c r="A7" s="308">
        <v>1.1000000000000001</v>
      </c>
      <c r="B7" s="153" t="s">
        <v>530</v>
      </c>
      <c r="C7" s="196" t="s">
        <v>19</v>
      </c>
      <c r="D7" s="197">
        <f>'General Info'!D14</f>
        <v>0</v>
      </c>
      <c r="E7" s="197">
        <f>'General Info'!E14</f>
        <v>0</v>
      </c>
      <c r="F7" s="197">
        <f>'General Info'!F14</f>
        <v>45</v>
      </c>
      <c r="G7" s="197">
        <f>'General Info'!G14</f>
        <v>45</v>
      </c>
      <c r="H7" s="197">
        <f>'General Info'!H14</f>
        <v>32</v>
      </c>
      <c r="I7" s="197">
        <f>'General Info'!I14</f>
        <v>45</v>
      </c>
      <c r="J7" s="309">
        <f>'General Info'!J14</f>
        <v>45</v>
      </c>
      <c r="K7" s="309">
        <f>'General Info'!K14</f>
        <v>32</v>
      </c>
    </row>
    <row r="8" spans="1:11">
      <c r="A8" s="308">
        <v>1.2</v>
      </c>
      <c r="B8" s="152" t="s">
        <v>531</v>
      </c>
      <c r="C8" s="198" t="s">
        <v>19</v>
      </c>
      <c r="D8" s="151"/>
      <c r="E8" s="151"/>
      <c r="F8" s="151"/>
      <c r="G8" s="151"/>
      <c r="H8" s="151"/>
      <c r="I8" s="421">
        <v>134939</v>
      </c>
      <c r="J8" s="421">
        <v>135881</v>
      </c>
      <c r="K8" s="421">
        <v>136213</v>
      </c>
    </row>
    <row r="9" spans="1:11">
      <c r="A9" s="308">
        <v>1.3</v>
      </c>
      <c r="B9" s="153" t="s">
        <v>532</v>
      </c>
      <c r="C9" s="196" t="s">
        <v>19</v>
      </c>
      <c r="D9" s="197">
        <f>'General Info'!D16</f>
        <v>0</v>
      </c>
      <c r="E9" s="197">
        <f>'General Info'!E16</f>
        <v>0</v>
      </c>
      <c r="F9" s="197">
        <f>'General Info'!F16</f>
        <v>7510</v>
      </c>
      <c r="G9" s="197">
        <f>'General Info'!G16</f>
        <v>7731</v>
      </c>
      <c r="H9" s="197">
        <f>'General Info'!H16</f>
        <v>7846</v>
      </c>
      <c r="I9" s="197">
        <f>'General Info'!I16</f>
        <v>29204</v>
      </c>
      <c r="J9" s="309">
        <f>'General Info'!J16</f>
        <v>29335</v>
      </c>
      <c r="K9" s="309">
        <f>'General Info'!K16</f>
        <v>22697</v>
      </c>
    </row>
    <row r="10" spans="1:11">
      <c r="A10" s="308">
        <v>1.4</v>
      </c>
      <c r="B10" s="153" t="s">
        <v>533</v>
      </c>
      <c r="C10" s="196" t="s">
        <v>244</v>
      </c>
      <c r="D10" s="197" t="e">
        <f t="shared" ref="D10:I10" si="0">IF(OR(D8="na",D9="na"),"na",IF(OR(D8="nd",D9="nd"),"nd",D8/D9))</f>
        <v>#DIV/0!</v>
      </c>
      <c r="E10" s="197" t="e">
        <f t="shared" si="0"/>
        <v>#DIV/0!</v>
      </c>
      <c r="F10" s="197">
        <f t="shared" si="0"/>
        <v>0</v>
      </c>
      <c r="G10" s="197">
        <f t="shared" si="0"/>
        <v>0</v>
      </c>
      <c r="H10" s="197">
        <f t="shared" si="0"/>
        <v>0</v>
      </c>
      <c r="I10" s="197">
        <f t="shared" si="0"/>
        <v>4.6205656759348033</v>
      </c>
      <c r="J10" s="309">
        <f>IF(OR(J8="na",J9="na"),"na",IF(OR(J8="nd",J9="nd"),"nd",J8/J9))</f>
        <v>4.6320436338844386</v>
      </c>
      <c r="K10" s="309">
        <f>IF(OR(K8="na",K9="na"),"na",IF(OR(K8="nd",K9="nd"),"nd",K8/K9))</f>
        <v>6.0013658192712693</v>
      </c>
    </row>
    <row r="11" spans="1:11">
      <c r="A11" s="308">
        <v>1.5</v>
      </c>
      <c r="B11" s="152" t="s">
        <v>534</v>
      </c>
      <c r="C11" s="198" t="s">
        <v>19</v>
      </c>
      <c r="D11" s="151"/>
      <c r="E11" s="151"/>
      <c r="F11" s="151"/>
      <c r="G11" s="151"/>
      <c r="H11" s="151"/>
      <c r="I11" s="421">
        <v>32</v>
      </c>
      <c r="J11" s="421">
        <v>32</v>
      </c>
      <c r="K11" s="421">
        <v>32</v>
      </c>
    </row>
    <row r="12" spans="1:11">
      <c r="A12" s="308">
        <v>1.6</v>
      </c>
      <c r="B12" s="389" t="s">
        <v>535</v>
      </c>
      <c r="C12" s="199" t="s">
        <v>19</v>
      </c>
      <c r="D12" s="200"/>
      <c r="E12" s="200"/>
      <c r="F12" s="200"/>
      <c r="G12" s="200"/>
      <c r="H12" s="200"/>
      <c r="I12" s="200"/>
      <c r="J12" s="421">
        <v>0</v>
      </c>
      <c r="K12" s="421">
        <v>0</v>
      </c>
    </row>
    <row r="13" spans="1:11">
      <c r="A13" s="312"/>
      <c r="B13" s="390"/>
      <c r="C13" s="201"/>
      <c r="D13" s="201"/>
      <c r="E13" s="202"/>
      <c r="F13" s="202"/>
      <c r="G13" s="202"/>
      <c r="H13" s="202"/>
      <c r="I13" s="202"/>
      <c r="J13" s="313"/>
      <c r="K13" s="313"/>
    </row>
    <row r="14" spans="1:11">
      <c r="A14" s="314"/>
      <c r="B14" s="388" t="s">
        <v>536</v>
      </c>
      <c r="C14" s="45" t="s">
        <v>4</v>
      </c>
      <c r="D14" s="45" t="str">
        <f>'General Info'!D4</f>
        <v>FY 2008-2009</v>
      </c>
      <c r="E14" s="45" t="str">
        <f>'General Info'!E4</f>
        <v>FY 2009-2010</v>
      </c>
      <c r="F14" s="45" t="str">
        <f>'General Info'!F4</f>
        <v>FY 2010-2011</v>
      </c>
      <c r="G14" s="45" t="str">
        <f>'General Info'!G4</f>
        <v>FY 2011-2012</v>
      </c>
      <c r="H14" s="45" t="str">
        <f>'General Info'!H4</f>
        <v>FY 2012-2013</v>
      </c>
      <c r="I14" s="45" t="str">
        <f>'General Info'!I4</f>
        <v>FY 2013-2014</v>
      </c>
      <c r="J14" s="315" t="str">
        <f>'General Info'!J4</f>
        <v>FY 2014-2015</v>
      </c>
      <c r="K14" s="315" t="str">
        <f>'General Info'!K4</f>
        <v>FY 2015-2016</v>
      </c>
    </row>
    <row r="15" spans="1:11">
      <c r="A15" s="308">
        <v>1.7</v>
      </c>
      <c r="B15" s="152" t="s">
        <v>537</v>
      </c>
      <c r="C15" s="198" t="s">
        <v>227</v>
      </c>
      <c r="D15" s="203"/>
      <c r="E15" s="203"/>
      <c r="F15" s="203"/>
      <c r="G15" s="203"/>
      <c r="H15" s="203"/>
      <c r="I15" s="370" t="s">
        <v>962</v>
      </c>
      <c r="J15" s="370" t="s">
        <v>962</v>
      </c>
      <c r="K15" s="370" t="s">
        <v>962</v>
      </c>
    </row>
    <row r="16" spans="1:11">
      <c r="A16" s="308">
        <v>1.8</v>
      </c>
      <c r="B16" s="152" t="s">
        <v>538</v>
      </c>
      <c r="C16" s="198" t="s">
        <v>227</v>
      </c>
      <c r="D16" s="203"/>
      <c r="E16" s="203"/>
      <c r="F16" s="203"/>
      <c r="G16" s="203"/>
      <c r="H16" s="203"/>
      <c r="I16" s="370" t="s">
        <v>963</v>
      </c>
      <c r="J16" s="370" t="s">
        <v>963</v>
      </c>
      <c r="K16" s="370" t="s">
        <v>963</v>
      </c>
    </row>
    <row r="17" spans="1:11">
      <c r="A17" s="308">
        <v>1.9</v>
      </c>
      <c r="B17" s="152" t="s">
        <v>539</v>
      </c>
      <c r="C17" s="198" t="s">
        <v>227</v>
      </c>
      <c r="D17" s="203"/>
      <c r="E17" s="203"/>
      <c r="F17" s="203"/>
      <c r="G17" s="203"/>
      <c r="H17" s="203"/>
      <c r="I17" s="370" t="s">
        <v>963</v>
      </c>
      <c r="J17" s="370" t="s">
        <v>963</v>
      </c>
      <c r="K17" s="370" t="s">
        <v>963</v>
      </c>
    </row>
    <row r="18" spans="1:11">
      <c r="A18" s="317">
        <v>1.1000000000000001</v>
      </c>
      <c r="B18" s="391" t="s">
        <v>540</v>
      </c>
      <c r="C18" s="198" t="s">
        <v>19</v>
      </c>
      <c r="D18" s="204"/>
      <c r="E18" s="204"/>
      <c r="F18" s="204"/>
      <c r="G18" s="204"/>
      <c r="H18" s="204"/>
      <c r="I18" s="204"/>
      <c r="J18" s="318"/>
      <c r="K18" s="318"/>
    </row>
    <row r="19" spans="1:11" ht="25.5">
      <c r="A19" s="308">
        <v>1.1100000000000001</v>
      </c>
      <c r="B19" s="152" t="s">
        <v>541</v>
      </c>
      <c r="C19" s="198" t="s">
        <v>227</v>
      </c>
      <c r="D19" s="203"/>
      <c r="E19" s="203"/>
      <c r="F19" s="203"/>
      <c r="G19" s="203"/>
      <c r="H19" s="203"/>
      <c r="I19" s="370" t="s">
        <v>963</v>
      </c>
      <c r="J19" s="370" t="s">
        <v>963</v>
      </c>
      <c r="K19" s="370" t="s">
        <v>963</v>
      </c>
    </row>
    <row r="20" spans="1:11" ht="25.5">
      <c r="A20" s="317">
        <v>1.1200000000000001</v>
      </c>
      <c r="B20" s="152" t="s">
        <v>542</v>
      </c>
      <c r="C20" s="198" t="s">
        <v>227</v>
      </c>
      <c r="D20" s="203"/>
      <c r="E20" s="203"/>
      <c r="F20" s="203"/>
      <c r="G20" s="203"/>
      <c r="H20" s="203"/>
      <c r="I20" s="370" t="s">
        <v>963</v>
      </c>
      <c r="J20" s="370" t="s">
        <v>963</v>
      </c>
      <c r="K20" s="370" t="s">
        <v>963</v>
      </c>
    </row>
    <row r="21" spans="1:11">
      <c r="A21" s="308">
        <v>1.1299999999999999</v>
      </c>
      <c r="B21" s="152" t="s">
        <v>543</v>
      </c>
      <c r="C21" s="198" t="s">
        <v>227</v>
      </c>
      <c r="D21" s="203"/>
      <c r="E21" s="203"/>
      <c r="F21" s="203"/>
      <c r="G21" s="203"/>
      <c r="H21" s="203"/>
      <c r="I21" s="370" t="s">
        <v>963</v>
      </c>
      <c r="J21" s="370" t="s">
        <v>963</v>
      </c>
      <c r="K21" s="370" t="s">
        <v>963</v>
      </c>
    </row>
    <row r="22" spans="1:11">
      <c r="A22" s="317">
        <v>1.1399999999999999</v>
      </c>
      <c r="B22" s="152" t="s">
        <v>544</v>
      </c>
      <c r="C22" s="198" t="s">
        <v>16</v>
      </c>
      <c r="D22" s="151"/>
      <c r="E22" s="151"/>
      <c r="F22" s="151"/>
      <c r="G22" s="151"/>
      <c r="H22" s="151"/>
      <c r="I22" s="422">
        <v>0</v>
      </c>
      <c r="J22" s="422">
        <v>1</v>
      </c>
      <c r="K22" s="422">
        <v>1</v>
      </c>
    </row>
    <row r="23" spans="1:11">
      <c r="A23" s="308">
        <v>1.1499999999999999</v>
      </c>
      <c r="B23" s="152" t="s">
        <v>545</v>
      </c>
      <c r="C23" s="198" t="s">
        <v>16</v>
      </c>
      <c r="D23" s="151"/>
      <c r="E23" s="151"/>
      <c r="F23" s="151"/>
      <c r="G23" s="151"/>
      <c r="H23" s="151"/>
      <c r="I23" s="422">
        <v>0</v>
      </c>
      <c r="J23" s="422">
        <v>10</v>
      </c>
      <c r="K23" s="422">
        <v>10</v>
      </c>
    </row>
    <row r="24" spans="1:11">
      <c r="A24" s="317">
        <v>1.1599999999999999</v>
      </c>
      <c r="B24" s="152" t="s">
        <v>546</v>
      </c>
      <c r="C24" s="198" t="s">
        <v>227</v>
      </c>
      <c r="D24" s="203"/>
      <c r="E24" s="203"/>
      <c r="F24" s="203"/>
      <c r="G24" s="203"/>
      <c r="H24" s="203"/>
      <c r="I24" s="370" t="s">
        <v>963</v>
      </c>
      <c r="J24" s="370" t="s">
        <v>962</v>
      </c>
      <c r="K24" s="370" t="s">
        <v>962</v>
      </c>
    </row>
    <row r="25" spans="1:11">
      <c r="A25" s="308">
        <v>1.17</v>
      </c>
      <c r="B25" s="152" t="s">
        <v>547</v>
      </c>
      <c r="C25" s="198" t="s">
        <v>548</v>
      </c>
      <c r="D25" s="204"/>
      <c r="E25" s="204"/>
      <c r="F25" s="204"/>
      <c r="G25" s="204"/>
      <c r="H25" s="204"/>
      <c r="I25" s="422">
        <v>2</v>
      </c>
      <c r="J25" s="422">
        <v>2</v>
      </c>
      <c r="K25" s="421">
        <v>2</v>
      </c>
    </row>
    <row r="26" spans="1:11">
      <c r="A26" s="319"/>
      <c r="B26" s="392" t="s">
        <v>549</v>
      </c>
      <c r="C26" s="202"/>
      <c r="D26" s="202"/>
      <c r="E26" s="205"/>
      <c r="F26" s="205"/>
      <c r="G26" s="205"/>
      <c r="H26" s="205"/>
      <c r="I26" s="205"/>
      <c r="J26" s="320"/>
      <c r="K26" s="320"/>
    </row>
    <row r="27" spans="1:11" ht="25.5">
      <c r="A27" s="308">
        <v>1.18</v>
      </c>
      <c r="B27" s="152" t="s">
        <v>550</v>
      </c>
      <c r="C27" s="198" t="s">
        <v>227</v>
      </c>
      <c r="D27" s="203"/>
      <c r="E27" s="203"/>
      <c r="F27" s="203"/>
      <c r="G27" s="203"/>
      <c r="H27" s="203"/>
      <c r="I27" s="370" t="s">
        <v>962</v>
      </c>
      <c r="J27" s="370" t="s">
        <v>962</v>
      </c>
      <c r="K27" s="370" t="s">
        <v>962</v>
      </c>
    </row>
    <row r="28" spans="1:11">
      <c r="A28" s="308">
        <v>1.19</v>
      </c>
      <c r="B28" s="393" t="s">
        <v>551</v>
      </c>
      <c r="C28" s="206" t="s">
        <v>552</v>
      </c>
      <c r="D28" s="203"/>
      <c r="E28" s="203"/>
      <c r="F28" s="203"/>
      <c r="G28" s="203"/>
      <c r="H28" s="203"/>
      <c r="I28" s="422">
        <v>3</v>
      </c>
      <c r="J28" s="422">
        <v>3</v>
      </c>
      <c r="K28" s="421">
        <v>3</v>
      </c>
    </row>
    <row r="29" spans="1:11">
      <c r="A29" s="321"/>
      <c r="B29" s="394" t="s">
        <v>553</v>
      </c>
      <c r="C29" s="208"/>
      <c r="D29" s="208"/>
      <c r="E29" s="207"/>
      <c r="F29" s="207"/>
      <c r="G29" s="207"/>
      <c r="H29" s="207"/>
      <c r="I29" s="207"/>
      <c r="J29" s="322"/>
      <c r="K29" s="322"/>
    </row>
    <row r="30" spans="1:11">
      <c r="A30" s="312"/>
      <c r="B30" s="390"/>
      <c r="C30" s="201"/>
      <c r="D30" s="201"/>
      <c r="E30" s="202"/>
      <c r="F30" s="202"/>
      <c r="G30" s="202"/>
      <c r="H30" s="202"/>
      <c r="I30" s="202"/>
      <c r="J30" s="313"/>
      <c r="K30" s="313"/>
    </row>
    <row r="31" spans="1:11">
      <c r="A31" s="314"/>
      <c r="B31" s="388" t="s">
        <v>554</v>
      </c>
      <c r="C31" s="45" t="s">
        <v>4</v>
      </c>
      <c r="D31" s="45" t="str">
        <f>'General Info'!D4</f>
        <v>FY 2008-2009</v>
      </c>
      <c r="E31" s="45" t="str">
        <f>'General Info'!E4</f>
        <v>FY 2009-2010</v>
      </c>
      <c r="F31" s="45" t="str">
        <f>'General Info'!F4</f>
        <v>FY 2010-2011</v>
      </c>
      <c r="G31" s="45" t="str">
        <f>'General Info'!G4</f>
        <v>FY 2011-2012</v>
      </c>
      <c r="H31" s="45" t="str">
        <f>'General Info'!H4</f>
        <v>FY 2012-2013</v>
      </c>
      <c r="I31" s="45" t="str">
        <f>'General Info'!I4</f>
        <v>FY 2013-2014</v>
      </c>
      <c r="J31" s="315" t="str">
        <f>'General Info'!J4</f>
        <v>FY 2014-2015</v>
      </c>
      <c r="K31" s="315" t="str">
        <f>'General Info'!K4</f>
        <v>FY 2015-2016</v>
      </c>
    </row>
    <row r="32" spans="1:11">
      <c r="A32" s="323">
        <v>1.2</v>
      </c>
      <c r="B32" s="152" t="s">
        <v>555</v>
      </c>
      <c r="C32" s="198" t="s">
        <v>19</v>
      </c>
      <c r="D32" s="151"/>
      <c r="E32" s="151"/>
      <c r="F32" s="151"/>
      <c r="G32" s="151"/>
      <c r="H32" s="151"/>
      <c r="I32" s="421">
        <v>36</v>
      </c>
      <c r="J32" s="421">
        <v>36</v>
      </c>
      <c r="K32" s="421">
        <v>32</v>
      </c>
    </row>
    <row r="33" spans="1:11">
      <c r="A33" s="324">
        <v>1.21</v>
      </c>
      <c r="B33" s="152" t="s">
        <v>556</v>
      </c>
      <c r="C33" s="198" t="s">
        <v>19</v>
      </c>
      <c r="D33" s="151"/>
      <c r="E33" s="151"/>
      <c r="F33" s="151"/>
      <c r="G33" s="151"/>
      <c r="H33" s="151"/>
      <c r="I33" s="421">
        <v>3200</v>
      </c>
      <c r="J33" s="421">
        <v>5400</v>
      </c>
      <c r="K33" s="421">
        <v>7705</v>
      </c>
    </row>
    <row r="34" spans="1:11">
      <c r="A34" s="324">
        <v>1.22</v>
      </c>
      <c r="B34" s="393" t="s">
        <v>557</v>
      </c>
      <c r="C34" s="199" t="s">
        <v>19</v>
      </c>
      <c r="D34" s="209"/>
      <c r="E34" s="210"/>
      <c r="F34" s="210"/>
      <c r="G34" s="210"/>
      <c r="H34" s="210"/>
      <c r="I34" s="421">
        <v>1800</v>
      </c>
      <c r="J34" s="421">
        <v>2200</v>
      </c>
      <c r="K34" s="421">
        <v>2305</v>
      </c>
    </row>
    <row r="35" spans="1:11">
      <c r="A35" s="324">
        <v>1.23</v>
      </c>
      <c r="B35" s="152" t="s">
        <v>558</v>
      </c>
      <c r="C35" s="198" t="s">
        <v>19</v>
      </c>
      <c r="D35" s="151"/>
      <c r="E35" s="151"/>
      <c r="F35" s="151"/>
      <c r="G35" s="151"/>
      <c r="H35" s="151"/>
      <c r="I35" s="421">
        <v>0</v>
      </c>
      <c r="J35" s="421">
        <v>0</v>
      </c>
      <c r="K35" s="421">
        <v>0</v>
      </c>
    </row>
    <row r="36" spans="1:11">
      <c r="A36" s="324">
        <v>1.24</v>
      </c>
      <c r="B36" s="152" t="s">
        <v>559</v>
      </c>
      <c r="C36" s="198" t="s">
        <v>19</v>
      </c>
      <c r="D36" s="151"/>
      <c r="E36" s="151"/>
      <c r="F36" s="151"/>
      <c r="G36" s="151"/>
      <c r="H36" s="151"/>
      <c r="I36" s="421">
        <v>1918</v>
      </c>
      <c r="J36" s="421">
        <v>1910</v>
      </c>
      <c r="K36" s="421">
        <v>1835</v>
      </c>
    </row>
    <row r="37" spans="1:11">
      <c r="A37" s="324">
        <v>1.25</v>
      </c>
      <c r="B37" s="393" t="s">
        <v>560</v>
      </c>
      <c r="C37" s="199" t="s">
        <v>19</v>
      </c>
      <c r="D37" s="209"/>
      <c r="E37" s="210"/>
      <c r="F37" s="210"/>
      <c r="G37" s="210"/>
      <c r="H37" s="210"/>
      <c r="I37" s="421">
        <v>0</v>
      </c>
      <c r="J37" s="421">
        <v>0</v>
      </c>
      <c r="K37" s="421">
        <v>0</v>
      </c>
    </row>
    <row r="38" spans="1:11">
      <c r="A38" s="324">
        <v>1.26</v>
      </c>
      <c r="B38" s="152" t="s">
        <v>561</v>
      </c>
      <c r="C38" s="198" t="s">
        <v>19</v>
      </c>
      <c r="D38" s="151"/>
      <c r="E38" s="151"/>
      <c r="F38" s="151"/>
      <c r="G38" s="151"/>
      <c r="H38" s="151"/>
      <c r="I38" s="421">
        <v>17522</v>
      </c>
      <c r="J38" s="421">
        <v>1150</v>
      </c>
      <c r="K38" s="421">
        <v>3150</v>
      </c>
    </row>
    <row r="39" spans="1:11">
      <c r="A39" s="324">
        <v>1.27</v>
      </c>
      <c r="B39" s="393" t="s">
        <v>562</v>
      </c>
      <c r="C39" s="199" t="s">
        <v>19</v>
      </c>
      <c r="D39" s="209"/>
      <c r="E39" s="210"/>
      <c r="F39" s="210"/>
      <c r="G39" s="210"/>
      <c r="H39" s="210"/>
      <c r="I39" s="421">
        <v>850</v>
      </c>
      <c r="J39" s="421">
        <v>115</v>
      </c>
      <c r="K39" s="421">
        <v>2000</v>
      </c>
    </row>
    <row r="40" spans="1:11">
      <c r="A40" s="324">
        <v>1.28</v>
      </c>
      <c r="B40" s="152" t="s">
        <v>563</v>
      </c>
      <c r="C40" s="198" t="s">
        <v>19</v>
      </c>
      <c r="D40" s="151"/>
      <c r="E40" s="151"/>
      <c r="F40" s="151"/>
      <c r="G40" s="151"/>
      <c r="H40" s="151"/>
      <c r="I40" s="421">
        <v>357</v>
      </c>
      <c r="J40" s="421">
        <v>228</v>
      </c>
      <c r="K40" s="421">
        <v>260</v>
      </c>
    </row>
    <row r="41" spans="1:11">
      <c r="A41" s="324">
        <v>1.29</v>
      </c>
      <c r="B41" s="152" t="s">
        <v>564</v>
      </c>
      <c r="C41" s="198" t="s">
        <v>19</v>
      </c>
      <c r="D41" s="151"/>
      <c r="E41" s="151"/>
      <c r="F41" s="151"/>
      <c r="G41" s="151"/>
      <c r="H41" s="151"/>
      <c r="I41" s="421">
        <v>48</v>
      </c>
      <c r="J41" s="421">
        <v>48</v>
      </c>
      <c r="K41" s="421">
        <v>80</v>
      </c>
    </row>
    <row r="42" spans="1:11">
      <c r="A42" s="323">
        <v>1.3</v>
      </c>
      <c r="B42" s="152" t="s">
        <v>565</v>
      </c>
      <c r="C42" s="198" t="s">
        <v>19</v>
      </c>
      <c r="D42" s="151"/>
      <c r="E42" s="151"/>
      <c r="F42" s="151"/>
      <c r="G42" s="151"/>
      <c r="H42" s="151"/>
      <c r="I42" s="421">
        <v>0</v>
      </c>
      <c r="J42" s="422" t="s">
        <v>961</v>
      </c>
      <c r="K42" s="422" t="s">
        <v>961</v>
      </c>
    </row>
    <row r="43" spans="1:11">
      <c r="A43" s="324">
        <v>1.31</v>
      </c>
      <c r="B43" s="152" t="s">
        <v>566</v>
      </c>
      <c r="C43" s="198" t="s">
        <v>19</v>
      </c>
      <c r="D43" s="151"/>
      <c r="E43" s="151"/>
      <c r="F43" s="151"/>
      <c r="G43" s="151"/>
      <c r="H43" s="151"/>
      <c r="I43" s="421">
        <v>0</v>
      </c>
      <c r="J43" s="422" t="s">
        <v>961</v>
      </c>
      <c r="K43" s="422" t="s">
        <v>961</v>
      </c>
    </row>
    <row r="44" spans="1:11">
      <c r="A44" s="324">
        <v>1.32</v>
      </c>
      <c r="B44" s="393" t="s">
        <v>567</v>
      </c>
      <c r="C44" s="199" t="s">
        <v>19</v>
      </c>
      <c r="D44" s="209"/>
      <c r="E44" s="210"/>
      <c r="F44" s="210"/>
      <c r="G44" s="210"/>
      <c r="H44" s="210"/>
      <c r="I44" s="421">
        <v>0</v>
      </c>
      <c r="J44" s="421">
        <v>0</v>
      </c>
      <c r="K44" s="421">
        <v>0</v>
      </c>
    </row>
    <row r="45" spans="1:11">
      <c r="A45" s="324">
        <v>1.33</v>
      </c>
      <c r="B45" s="152" t="s">
        <v>568</v>
      </c>
      <c r="C45" s="198" t="s">
        <v>19</v>
      </c>
      <c r="D45" s="151"/>
      <c r="E45" s="151"/>
      <c r="F45" s="151"/>
      <c r="G45" s="151"/>
      <c r="H45" s="151"/>
      <c r="I45" s="421">
        <v>10440</v>
      </c>
      <c r="J45" s="421">
        <v>1380</v>
      </c>
      <c r="K45" s="421">
        <v>2380</v>
      </c>
    </row>
    <row r="46" spans="1:11">
      <c r="A46" s="325"/>
      <c r="B46" s="395"/>
      <c r="C46" s="326"/>
      <c r="D46" s="326"/>
      <c r="E46" s="326"/>
      <c r="F46" s="326"/>
      <c r="G46" s="326"/>
      <c r="H46" s="326"/>
      <c r="I46" s="326"/>
      <c r="J46" s="327"/>
      <c r="K46" s="327"/>
    </row>
    <row r="47" spans="1:11">
      <c r="A47" s="440" t="s">
        <v>569</v>
      </c>
      <c r="B47" s="431"/>
      <c r="C47" s="431"/>
      <c r="D47" s="431"/>
      <c r="E47" s="431"/>
      <c r="F47" s="74"/>
      <c r="G47" s="74"/>
      <c r="H47" s="74"/>
      <c r="I47" s="74"/>
      <c r="J47" s="328"/>
      <c r="K47" s="328"/>
    </row>
    <row r="48" spans="1:11">
      <c r="A48" s="304">
        <v>2</v>
      </c>
      <c r="B48" s="439" t="s">
        <v>570</v>
      </c>
      <c r="C48" s="439"/>
      <c r="D48" s="439"/>
      <c r="E48" s="439"/>
      <c r="F48" s="193"/>
      <c r="G48" s="193"/>
      <c r="H48" s="193"/>
      <c r="I48" s="193"/>
      <c r="J48" s="305"/>
      <c r="K48" s="305"/>
    </row>
    <row r="49" spans="1:11">
      <c r="A49" s="314"/>
      <c r="B49" s="388" t="s">
        <v>571</v>
      </c>
      <c r="C49" s="45" t="s">
        <v>4</v>
      </c>
      <c r="D49" s="45" t="str">
        <f>'General Info'!D4</f>
        <v>FY 2008-2009</v>
      </c>
      <c r="E49" s="45" t="str">
        <f>'General Info'!E4</f>
        <v>FY 2009-2010</v>
      </c>
      <c r="F49" s="45" t="str">
        <f>'General Info'!F4</f>
        <v>FY 2010-2011</v>
      </c>
      <c r="G49" s="45" t="str">
        <f>'General Info'!G4</f>
        <v>FY 2011-2012</v>
      </c>
      <c r="H49" s="45" t="str">
        <f>'General Info'!H4</f>
        <v>FY 2012-2013</v>
      </c>
      <c r="I49" s="45" t="str">
        <f>'General Info'!I4</f>
        <v>FY 2013-2014</v>
      </c>
      <c r="J49" s="315" t="str">
        <f>'General Info'!J4</f>
        <v>FY 2014-2015</v>
      </c>
      <c r="K49" s="315" t="str">
        <f>'General Info'!K4</f>
        <v>FY 2015-2016</v>
      </c>
    </row>
    <row r="50" spans="1:11">
      <c r="A50" s="324">
        <v>2.1</v>
      </c>
      <c r="B50" s="152" t="s">
        <v>572</v>
      </c>
      <c r="C50" s="198" t="s">
        <v>255</v>
      </c>
      <c r="D50" s="151"/>
      <c r="E50" s="151"/>
      <c r="F50" s="151"/>
      <c r="G50" s="151"/>
      <c r="H50" s="151"/>
      <c r="I50" s="422">
        <v>0.32</v>
      </c>
      <c r="J50" s="422">
        <v>0.32</v>
      </c>
      <c r="K50" s="421">
        <v>0</v>
      </c>
    </row>
    <row r="51" spans="1:11">
      <c r="A51" s="324">
        <v>2.2000000000000002</v>
      </c>
      <c r="B51" s="152" t="s">
        <v>573</v>
      </c>
      <c r="C51" s="198" t="s">
        <v>255</v>
      </c>
      <c r="D51" s="151"/>
      <c r="E51" s="151"/>
      <c r="F51" s="151"/>
      <c r="G51" s="151"/>
      <c r="H51" s="151"/>
      <c r="I51" s="422">
        <v>19.5</v>
      </c>
      <c r="J51" s="422">
        <v>19.5</v>
      </c>
      <c r="K51" s="421">
        <v>19</v>
      </c>
    </row>
    <row r="52" spans="1:11">
      <c r="A52" s="324">
        <v>2.2999999999999998</v>
      </c>
      <c r="B52" s="393" t="s">
        <v>574</v>
      </c>
      <c r="C52" s="198" t="s">
        <v>255</v>
      </c>
      <c r="D52" s="111"/>
      <c r="E52" s="111"/>
      <c r="F52" s="111"/>
      <c r="G52" s="111"/>
      <c r="H52" s="111"/>
      <c r="I52" s="422">
        <v>0</v>
      </c>
      <c r="J52" s="422">
        <v>0</v>
      </c>
      <c r="K52" s="422" t="s">
        <v>1000</v>
      </c>
    </row>
    <row r="53" spans="1:11">
      <c r="A53" s="324">
        <v>2.4</v>
      </c>
      <c r="B53" s="152" t="s">
        <v>575</v>
      </c>
      <c r="C53" s="198" t="s">
        <v>255</v>
      </c>
      <c r="D53" s="151"/>
      <c r="E53" s="151"/>
      <c r="F53" s="151"/>
      <c r="G53" s="151"/>
      <c r="H53" s="151"/>
      <c r="I53" s="422">
        <v>175</v>
      </c>
      <c r="J53" s="422">
        <v>205</v>
      </c>
      <c r="K53" s="421">
        <v>220</v>
      </c>
    </row>
    <row r="54" spans="1:11">
      <c r="A54" s="324">
        <v>2.5</v>
      </c>
      <c r="B54" s="152" t="s">
        <v>576</v>
      </c>
      <c r="C54" s="198" t="s">
        <v>19</v>
      </c>
      <c r="D54" s="151"/>
      <c r="E54" s="151"/>
      <c r="F54" s="151"/>
      <c r="G54" s="151"/>
      <c r="H54" s="151"/>
      <c r="I54" s="421">
        <v>435</v>
      </c>
      <c r="J54" s="421">
        <v>430</v>
      </c>
      <c r="K54" s="421">
        <v>380</v>
      </c>
    </row>
    <row r="55" spans="1:11">
      <c r="A55" s="324">
        <v>2.6</v>
      </c>
      <c r="B55" s="152" t="s">
        <v>577</v>
      </c>
      <c r="C55" s="198" t="s">
        <v>32</v>
      </c>
      <c r="D55" s="151"/>
      <c r="E55" s="151"/>
      <c r="F55" s="151"/>
      <c r="G55" s="151"/>
      <c r="H55" s="151"/>
      <c r="I55" s="422">
        <v>86</v>
      </c>
      <c r="J55" s="422">
        <v>59.5</v>
      </c>
      <c r="K55" s="421">
        <v>62</v>
      </c>
    </row>
    <row r="56" spans="1:11">
      <c r="A56" s="324">
        <v>2.7</v>
      </c>
      <c r="B56" s="152" t="s">
        <v>578</v>
      </c>
      <c r="C56" s="198" t="s">
        <v>255</v>
      </c>
      <c r="D56" s="151"/>
      <c r="E56" s="151"/>
      <c r="F56" s="151"/>
      <c r="G56" s="151"/>
      <c r="H56" s="151"/>
      <c r="I56" s="422">
        <v>584</v>
      </c>
      <c r="J56" s="422">
        <v>590</v>
      </c>
      <c r="K56" s="421">
        <v>610</v>
      </c>
    </row>
    <row r="57" spans="1:11">
      <c r="A57" s="448"/>
      <c r="B57" s="449"/>
      <c r="C57" s="449"/>
      <c r="D57" s="449"/>
      <c r="E57" s="449"/>
      <c r="F57" s="211"/>
      <c r="G57" s="211"/>
      <c r="H57" s="211"/>
      <c r="I57" s="211"/>
      <c r="J57" s="329"/>
      <c r="K57" s="329"/>
    </row>
    <row r="58" spans="1:11">
      <c r="A58" s="314"/>
      <c r="B58" s="388" t="s">
        <v>579</v>
      </c>
      <c r="C58" s="45" t="s">
        <v>4</v>
      </c>
      <c r="D58" s="45" t="str">
        <f>'General Info'!D4</f>
        <v>FY 2008-2009</v>
      </c>
      <c r="E58" s="45" t="str">
        <f>'General Info'!E4</f>
        <v>FY 2009-2010</v>
      </c>
      <c r="F58" s="45" t="str">
        <f>'General Info'!F4</f>
        <v>FY 2010-2011</v>
      </c>
      <c r="G58" s="45" t="str">
        <f>'General Info'!G4</f>
        <v>FY 2011-2012</v>
      </c>
      <c r="H58" s="45" t="str">
        <f>'General Info'!H4</f>
        <v>FY 2012-2013</v>
      </c>
      <c r="I58" s="45" t="str">
        <f>'General Info'!I4</f>
        <v>FY 2013-2014</v>
      </c>
      <c r="J58" s="315" t="str">
        <f>'General Info'!J4</f>
        <v>FY 2014-2015</v>
      </c>
      <c r="K58" s="315" t="str">
        <f>'General Info'!K4</f>
        <v>FY 2015-2016</v>
      </c>
    </row>
    <row r="59" spans="1:11">
      <c r="A59" s="324">
        <v>2.8</v>
      </c>
      <c r="B59" s="152" t="s">
        <v>580</v>
      </c>
      <c r="C59" s="198" t="s">
        <v>96</v>
      </c>
      <c r="D59" s="151"/>
      <c r="E59" s="151"/>
      <c r="F59" s="151"/>
      <c r="G59" s="151"/>
      <c r="H59" s="151"/>
      <c r="I59" s="422">
        <v>0.5</v>
      </c>
      <c r="J59" s="422">
        <v>0.5</v>
      </c>
      <c r="K59" s="422">
        <v>0.5</v>
      </c>
    </row>
    <row r="60" spans="1:11">
      <c r="A60" s="324">
        <v>2.9</v>
      </c>
      <c r="B60" s="152" t="s">
        <v>581</v>
      </c>
      <c r="C60" s="198" t="s">
        <v>96</v>
      </c>
      <c r="D60" s="151"/>
      <c r="E60" s="151"/>
      <c r="F60" s="151"/>
      <c r="G60" s="151"/>
      <c r="H60" s="151"/>
      <c r="I60" s="422">
        <v>22.5</v>
      </c>
      <c r="J60" s="422">
        <v>0</v>
      </c>
      <c r="K60" s="422">
        <v>0</v>
      </c>
    </row>
    <row r="61" spans="1:11">
      <c r="A61" s="323">
        <v>2.1</v>
      </c>
      <c r="B61" s="152" t="s">
        <v>582</v>
      </c>
      <c r="C61" s="198" t="s">
        <v>96</v>
      </c>
      <c r="D61" s="151"/>
      <c r="E61" s="151"/>
      <c r="F61" s="151"/>
      <c r="G61" s="151"/>
      <c r="H61" s="151"/>
      <c r="I61" s="151"/>
      <c r="J61" s="422">
        <v>22.5</v>
      </c>
      <c r="K61" s="422">
        <v>22.5</v>
      </c>
    </row>
    <row r="62" spans="1:11">
      <c r="A62" s="324">
        <v>2.11</v>
      </c>
      <c r="B62" s="152" t="s">
        <v>583</v>
      </c>
      <c r="C62" s="198" t="s">
        <v>96</v>
      </c>
      <c r="D62" s="151"/>
      <c r="E62" s="151"/>
      <c r="F62" s="151"/>
      <c r="G62" s="151"/>
      <c r="H62" s="151"/>
      <c r="I62" s="151"/>
      <c r="J62" s="422">
        <v>0</v>
      </c>
      <c r="K62" s="422">
        <v>0</v>
      </c>
    </row>
    <row r="63" spans="1:11" ht="25.5">
      <c r="A63" s="323">
        <v>2.12</v>
      </c>
      <c r="B63" s="152" t="s">
        <v>584</v>
      </c>
      <c r="C63" s="198" t="s">
        <v>96</v>
      </c>
      <c r="D63" s="151"/>
      <c r="E63" s="151"/>
      <c r="F63" s="151"/>
      <c r="G63" s="151"/>
      <c r="H63" s="151"/>
      <c r="I63" s="151"/>
      <c r="J63" s="422">
        <v>0</v>
      </c>
      <c r="K63" s="422">
        <v>0</v>
      </c>
    </row>
    <row r="64" spans="1:11">
      <c r="A64" s="324">
        <v>2.13</v>
      </c>
      <c r="B64" s="396" t="s">
        <v>585</v>
      </c>
      <c r="C64" s="196" t="s">
        <v>96</v>
      </c>
      <c r="D64" s="197">
        <f>IF(OR(D59="nd",D60="nd",D61="nd",D62="nd",D63="nd"),"nd",SUM($D$59:$D$63))</f>
        <v>0</v>
      </c>
      <c r="E64" s="197">
        <f>IF(OR(E59="nd",E60="nd",E61="nd",E62="nd",E63="nd"),"nd",SUM($E$59:$E$63))</f>
        <v>0</v>
      </c>
      <c r="F64" s="197">
        <f>IF(OR(F59="nd",F60="nd",F61="nd",F62="nd",F63="nd"),"nd",SUM($F$59:$F$63))</f>
        <v>0</v>
      </c>
      <c r="G64" s="197">
        <f>IF(OR(G59="nd",G60="nd",G61="nd",G62="nd",G63="nd"),"nd",SUM($G$59:$G$63))</f>
        <v>0</v>
      </c>
      <c r="H64" s="197">
        <f>IF(OR(H59="nd",H60="nd",H61="nd",H62="nd",H63="nd"),"nd",SUM($H$59:$H$63))</f>
        <v>0</v>
      </c>
      <c r="I64" s="197">
        <f>IF(OR(I59="nd",I60="nd",I61="nd",I62="nd",I63="nd"),"nd",SUM($I$59:$I$63))</f>
        <v>23</v>
      </c>
      <c r="J64" s="309">
        <f>IF(OR(J59="nd",J60="nd",J61="nd",J62="nd",J63="nd"),"nd",SUM(J59:J63))</f>
        <v>23</v>
      </c>
      <c r="K64" s="309">
        <f>IF(OR(K59="nd",K60="nd",K61="nd",K62="nd",K63="nd"),"nd",SUM(K59:K63))</f>
        <v>23</v>
      </c>
    </row>
    <row r="65" spans="1:11">
      <c r="A65" s="323">
        <v>2.14</v>
      </c>
      <c r="B65" s="152" t="s">
        <v>586</v>
      </c>
      <c r="C65" s="198" t="s">
        <v>96</v>
      </c>
      <c r="D65" s="151"/>
      <c r="E65" s="151"/>
      <c r="F65" s="151"/>
      <c r="G65" s="151"/>
      <c r="H65" s="151"/>
      <c r="I65" s="422">
        <v>22.5</v>
      </c>
      <c r="J65" s="422">
        <v>22.5</v>
      </c>
      <c r="K65" s="422">
        <v>22.5</v>
      </c>
    </row>
    <row r="66" spans="1:11">
      <c r="A66" s="324">
        <v>2.15</v>
      </c>
      <c r="B66" s="152" t="s">
        <v>233</v>
      </c>
      <c r="C66" s="198" t="s">
        <v>234</v>
      </c>
      <c r="D66" s="151"/>
      <c r="E66" s="151"/>
      <c r="F66" s="151"/>
      <c r="G66" s="151"/>
      <c r="H66" s="151"/>
      <c r="I66" s="151"/>
      <c r="J66" s="422">
        <v>6</v>
      </c>
      <c r="K66" s="422">
        <v>6</v>
      </c>
    </row>
    <row r="67" spans="1:11">
      <c r="A67" s="323">
        <v>2.16</v>
      </c>
      <c r="B67" s="152" t="s">
        <v>235</v>
      </c>
      <c r="C67" s="198" t="s">
        <v>234</v>
      </c>
      <c r="D67" s="151"/>
      <c r="E67" s="151"/>
      <c r="F67" s="151"/>
      <c r="G67" s="151"/>
      <c r="H67" s="151"/>
      <c r="I67" s="151"/>
      <c r="J67" s="422">
        <v>3</v>
      </c>
      <c r="K67" s="422">
        <v>3</v>
      </c>
    </row>
    <row r="68" spans="1:11" ht="25.5">
      <c r="A68" s="324">
        <v>2.17</v>
      </c>
      <c r="B68" s="152" t="s">
        <v>587</v>
      </c>
      <c r="C68" s="198" t="s">
        <v>227</v>
      </c>
      <c r="D68" s="203"/>
      <c r="E68" s="203"/>
      <c r="F68" s="203"/>
      <c r="G68" s="203"/>
      <c r="H68" s="203"/>
      <c r="I68" s="370" t="s">
        <v>962</v>
      </c>
      <c r="J68" s="370" t="s">
        <v>962</v>
      </c>
      <c r="K68" s="370" t="s">
        <v>962</v>
      </c>
    </row>
    <row r="69" spans="1:11" ht="25.5">
      <c r="A69" s="323">
        <v>2.1800000000000002</v>
      </c>
      <c r="B69" s="152" t="s">
        <v>588</v>
      </c>
      <c r="C69" s="198" t="s">
        <v>96</v>
      </c>
      <c r="D69" s="151"/>
      <c r="E69" s="151"/>
      <c r="F69" s="151"/>
      <c r="G69" s="151"/>
      <c r="H69" s="151"/>
      <c r="I69" s="422">
        <v>0</v>
      </c>
      <c r="J69" s="422">
        <v>37</v>
      </c>
      <c r="K69" s="422">
        <v>37</v>
      </c>
    </row>
    <row r="70" spans="1:11">
      <c r="A70" s="448"/>
      <c r="B70" s="449"/>
      <c r="C70" s="449"/>
      <c r="D70" s="449"/>
      <c r="E70" s="449"/>
      <c r="F70" s="211"/>
      <c r="G70" s="211"/>
      <c r="H70" s="211"/>
      <c r="I70" s="211"/>
      <c r="J70" s="329"/>
      <c r="K70" s="329"/>
    </row>
    <row r="71" spans="1:11">
      <c r="A71" s="314"/>
      <c r="B71" s="388" t="s">
        <v>589</v>
      </c>
      <c r="C71" s="45" t="s">
        <v>4</v>
      </c>
      <c r="D71" s="45" t="str">
        <f>'General Info'!D4</f>
        <v>FY 2008-2009</v>
      </c>
      <c r="E71" s="45" t="str">
        <f>'General Info'!E4</f>
        <v>FY 2009-2010</v>
      </c>
      <c r="F71" s="45" t="str">
        <f>'General Info'!F4</f>
        <v>FY 2010-2011</v>
      </c>
      <c r="G71" s="45" t="str">
        <f>'General Info'!G4</f>
        <v>FY 2011-2012</v>
      </c>
      <c r="H71" s="45" t="str">
        <f>'General Info'!H4</f>
        <v>FY 2012-2013</v>
      </c>
      <c r="I71" s="45" t="str">
        <f>'General Info'!I4</f>
        <v>FY 2013-2014</v>
      </c>
      <c r="J71" s="315" t="str">
        <f>'General Info'!J4</f>
        <v>FY 2014-2015</v>
      </c>
      <c r="K71" s="315" t="str">
        <f>'General Info'!K4</f>
        <v>FY 2015-2016</v>
      </c>
    </row>
    <row r="72" spans="1:11">
      <c r="A72" s="324">
        <v>2.19</v>
      </c>
      <c r="B72" s="152" t="s">
        <v>590</v>
      </c>
      <c r="C72" s="198" t="s">
        <v>227</v>
      </c>
      <c r="D72" s="203"/>
      <c r="E72" s="203"/>
      <c r="F72" s="203"/>
      <c r="G72" s="203"/>
      <c r="H72" s="203"/>
      <c r="I72" s="370" t="s">
        <v>963</v>
      </c>
      <c r="J72" s="370" t="s">
        <v>963</v>
      </c>
      <c r="K72" s="370" t="s">
        <v>963</v>
      </c>
    </row>
    <row r="73" spans="1:11">
      <c r="A73" s="323">
        <v>2.2000000000000002</v>
      </c>
      <c r="B73" s="152" t="s">
        <v>591</v>
      </c>
      <c r="C73" s="198" t="s">
        <v>227</v>
      </c>
      <c r="D73" s="203"/>
      <c r="E73" s="203"/>
      <c r="F73" s="203"/>
      <c r="G73" s="203"/>
      <c r="H73" s="203"/>
      <c r="I73" s="370" t="s">
        <v>963</v>
      </c>
      <c r="J73" s="370" t="s">
        <v>963</v>
      </c>
      <c r="K73" s="370" t="s">
        <v>963</v>
      </c>
    </row>
    <row r="74" spans="1:11" ht="25.5">
      <c r="A74" s="324">
        <v>2.21</v>
      </c>
      <c r="B74" s="152" t="s">
        <v>592</v>
      </c>
      <c r="C74" s="198" t="s">
        <v>19</v>
      </c>
      <c r="D74" s="151"/>
      <c r="E74" s="151"/>
      <c r="F74" s="151"/>
      <c r="G74" s="151"/>
      <c r="H74" s="151"/>
      <c r="I74" s="422">
        <v>15</v>
      </c>
      <c r="J74" s="422">
        <v>20</v>
      </c>
      <c r="K74" s="422">
        <v>20</v>
      </c>
    </row>
    <row r="75" spans="1:11">
      <c r="A75" s="324">
        <v>2.2200000000000002</v>
      </c>
      <c r="B75" s="152" t="s">
        <v>593</v>
      </c>
      <c r="C75" s="198" t="s">
        <v>19</v>
      </c>
      <c r="D75" s="151"/>
      <c r="E75" s="151"/>
      <c r="F75" s="151"/>
      <c r="G75" s="151"/>
      <c r="H75" s="151"/>
      <c r="I75" s="422">
        <v>18</v>
      </c>
      <c r="J75" s="422">
        <v>15</v>
      </c>
      <c r="K75" s="422">
        <v>10</v>
      </c>
    </row>
    <row r="76" spans="1:11">
      <c r="A76" s="448"/>
      <c r="B76" s="449"/>
      <c r="C76" s="449"/>
      <c r="D76" s="449"/>
      <c r="E76" s="449"/>
      <c r="F76" s="211"/>
      <c r="G76" s="211"/>
      <c r="H76" s="211"/>
      <c r="I76" s="211"/>
      <c r="J76" s="329"/>
      <c r="K76" s="329"/>
    </row>
    <row r="77" spans="1:11">
      <c r="A77" s="314"/>
      <c r="B77" s="388" t="s">
        <v>594</v>
      </c>
      <c r="C77" s="45" t="s">
        <v>4</v>
      </c>
      <c r="D77" s="45" t="str">
        <f>'General Info'!D4</f>
        <v>FY 2008-2009</v>
      </c>
      <c r="E77" s="45" t="str">
        <f>'General Info'!E4</f>
        <v>FY 2009-2010</v>
      </c>
      <c r="F77" s="45" t="str">
        <f>'General Info'!F4</f>
        <v>FY 2010-2011</v>
      </c>
      <c r="G77" s="45" t="str">
        <f>'General Info'!G4</f>
        <v>FY 2011-2012</v>
      </c>
      <c r="H77" s="45" t="str">
        <f>'General Info'!H4</f>
        <v>FY 2012-2013</v>
      </c>
      <c r="I77" s="45" t="str">
        <f>'General Info'!I4</f>
        <v>FY 2013-2014</v>
      </c>
      <c r="J77" s="315" t="str">
        <f>'General Info'!J4</f>
        <v>FY 2014-2015</v>
      </c>
      <c r="K77" s="315" t="str">
        <f>'General Info'!K4</f>
        <v>FY 2015-2016</v>
      </c>
    </row>
    <row r="78" spans="1:11">
      <c r="A78" s="324">
        <v>2.23</v>
      </c>
      <c r="B78" s="152" t="s">
        <v>595</v>
      </c>
      <c r="C78" s="198" t="s">
        <v>16</v>
      </c>
      <c r="D78" s="151"/>
      <c r="E78" s="151"/>
      <c r="F78" s="151"/>
      <c r="G78" s="151"/>
      <c r="H78" s="151"/>
      <c r="I78" s="151"/>
      <c r="J78" s="422" t="s">
        <v>961</v>
      </c>
      <c r="K78" s="422" t="s">
        <v>961</v>
      </c>
    </row>
    <row r="79" spans="1:11">
      <c r="A79" s="324">
        <v>2.2400000000000002</v>
      </c>
      <c r="B79" s="152" t="s">
        <v>596</v>
      </c>
      <c r="C79" s="198" t="s">
        <v>19</v>
      </c>
      <c r="D79" s="151"/>
      <c r="E79" s="151"/>
      <c r="F79" s="151"/>
      <c r="G79" s="151"/>
      <c r="H79" s="151"/>
      <c r="I79" s="151"/>
      <c r="J79" s="422" t="s">
        <v>961</v>
      </c>
      <c r="K79" s="422" t="s">
        <v>961</v>
      </c>
    </row>
    <row r="80" spans="1:11">
      <c r="A80" s="324">
        <v>2.25</v>
      </c>
      <c r="B80" s="152" t="s">
        <v>597</v>
      </c>
      <c r="C80" s="198" t="s">
        <v>96</v>
      </c>
      <c r="D80" s="151"/>
      <c r="E80" s="151"/>
      <c r="F80" s="151"/>
      <c r="G80" s="151"/>
      <c r="H80" s="151"/>
      <c r="I80" s="151"/>
      <c r="J80" s="422" t="s">
        <v>961</v>
      </c>
      <c r="K80" s="422" t="s">
        <v>961</v>
      </c>
    </row>
    <row r="81" spans="1:11">
      <c r="A81" s="324">
        <v>2.2599999999999998</v>
      </c>
      <c r="B81" s="152" t="s">
        <v>598</v>
      </c>
      <c r="C81" s="198" t="s">
        <v>19</v>
      </c>
      <c r="D81" s="151"/>
      <c r="E81" s="151"/>
      <c r="F81" s="151"/>
      <c r="G81" s="151"/>
      <c r="H81" s="151"/>
      <c r="I81" s="151"/>
      <c r="J81" s="421">
        <v>0</v>
      </c>
      <c r="K81" s="421">
        <v>0</v>
      </c>
    </row>
    <row r="82" spans="1:11">
      <c r="A82" s="448"/>
      <c r="B82" s="449"/>
      <c r="C82" s="449"/>
      <c r="D82" s="449"/>
      <c r="E82" s="449"/>
      <c r="F82" s="211"/>
      <c r="G82" s="211"/>
      <c r="H82" s="211"/>
      <c r="I82" s="211"/>
      <c r="J82" s="329"/>
      <c r="K82" s="329"/>
    </row>
    <row r="83" spans="1:11">
      <c r="A83" s="314"/>
      <c r="B83" s="388" t="s">
        <v>599</v>
      </c>
      <c r="C83" s="45" t="s">
        <v>4</v>
      </c>
      <c r="D83" s="45" t="str">
        <f>'General Info'!D4</f>
        <v>FY 2008-2009</v>
      </c>
      <c r="E83" s="45" t="str">
        <f>'General Info'!E4</f>
        <v>FY 2009-2010</v>
      </c>
      <c r="F83" s="45" t="str">
        <f>'General Info'!F4</f>
        <v>FY 2010-2011</v>
      </c>
      <c r="G83" s="45" t="str">
        <f>'General Info'!G4</f>
        <v>FY 2011-2012</v>
      </c>
      <c r="H83" s="45" t="str">
        <f>'General Info'!H4</f>
        <v>FY 2012-2013</v>
      </c>
      <c r="I83" s="45" t="str">
        <f>'General Info'!I4</f>
        <v>FY 2013-2014</v>
      </c>
      <c r="J83" s="315" t="str">
        <f>'General Info'!J4</f>
        <v>FY 2014-2015</v>
      </c>
      <c r="K83" s="315" t="str">
        <f>'General Info'!K4</f>
        <v>FY 2015-2016</v>
      </c>
    </row>
    <row r="84" spans="1:11" ht="25.5">
      <c r="A84" s="324">
        <v>2.27</v>
      </c>
      <c r="B84" s="152" t="s">
        <v>600</v>
      </c>
      <c r="C84" s="198" t="s">
        <v>227</v>
      </c>
      <c r="D84" s="203"/>
      <c r="E84" s="203"/>
      <c r="F84" s="203"/>
      <c r="G84" s="203"/>
      <c r="H84" s="203"/>
      <c r="I84" s="370" t="s">
        <v>962</v>
      </c>
      <c r="J84" s="370" t="s">
        <v>962</v>
      </c>
      <c r="K84" s="370" t="s">
        <v>962</v>
      </c>
    </row>
    <row r="85" spans="1:11" ht="25.5">
      <c r="A85" s="324">
        <v>2.2799999999999998</v>
      </c>
      <c r="B85" s="152" t="s">
        <v>601</v>
      </c>
      <c r="C85" s="198" t="s">
        <v>227</v>
      </c>
      <c r="D85" s="203"/>
      <c r="E85" s="203"/>
      <c r="F85" s="203"/>
      <c r="G85" s="203"/>
      <c r="H85" s="203"/>
      <c r="I85" s="370" t="s">
        <v>962</v>
      </c>
      <c r="J85" s="370" t="s">
        <v>962</v>
      </c>
      <c r="K85" s="370" t="s">
        <v>962</v>
      </c>
    </row>
    <row r="86" spans="1:11">
      <c r="A86" s="314"/>
      <c r="B86" s="388" t="s">
        <v>602</v>
      </c>
      <c r="C86" s="45" t="s">
        <v>4</v>
      </c>
      <c r="D86" s="45" t="str">
        <f>'General Info'!D4</f>
        <v>FY 2008-2009</v>
      </c>
      <c r="E86" s="45" t="str">
        <f>'General Info'!E4</f>
        <v>FY 2009-2010</v>
      </c>
      <c r="F86" s="45" t="str">
        <f>'General Info'!F4</f>
        <v>FY 2010-2011</v>
      </c>
      <c r="G86" s="45" t="str">
        <f>'General Info'!G4</f>
        <v>FY 2011-2012</v>
      </c>
      <c r="H86" s="45" t="str">
        <f>'General Info'!H4</f>
        <v>FY 2012-2013</v>
      </c>
      <c r="I86" s="45" t="str">
        <f>'General Info'!I4</f>
        <v>FY 2013-2014</v>
      </c>
      <c r="J86" s="315" t="str">
        <f>'General Info'!J4</f>
        <v>FY 2014-2015</v>
      </c>
      <c r="K86" s="315" t="str">
        <f>'General Info'!K4</f>
        <v>FY 2015-2016</v>
      </c>
    </row>
    <row r="87" spans="1:11">
      <c r="A87" s="324">
        <v>2.29</v>
      </c>
      <c r="B87" s="152" t="s">
        <v>603</v>
      </c>
      <c r="C87" s="198" t="s">
        <v>227</v>
      </c>
      <c r="D87" s="203"/>
      <c r="E87" s="203"/>
      <c r="F87" s="203"/>
      <c r="G87" s="203"/>
      <c r="H87" s="203"/>
      <c r="I87" s="370" t="s">
        <v>962</v>
      </c>
      <c r="J87" s="370" t="s">
        <v>962</v>
      </c>
      <c r="K87" s="370" t="s">
        <v>962</v>
      </c>
    </row>
    <row r="88" spans="1:11">
      <c r="A88" s="312"/>
      <c r="B88" s="397" t="s">
        <v>604</v>
      </c>
      <c r="C88" s="116"/>
      <c r="D88" s="212"/>
      <c r="E88" s="212"/>
      <c r="F88" s="212"/>
      <c r="G88" s="212"/>
      <c r="H88" s="212"/>
      <c r="I88" s="212"/>
      <c r="J88" s="330"/>
      <c r="K88" s="330"/>
    </row>
    <row r="89" spans="1:11">
      <c r="A89" s="323">
        <v>2.2999999999999998</v>
      </c>
      <c r="B89" s="152" t="s">
        <v>605</v>
      </c>
      <c r="C89" s="198" t="s">
        <v>19</v>
      </c>
      <c r="D89" s="151"/>
      <c r="E89" s="151"/>
      <c r="F89" s="151"/>
      <c r="G89" s="151"/>
      <c r="H89" s="151"/>
      <c r="I89" s="422">
        <v>1490</v>
      </c>
      <c r="J89" s="422">
        <v>1470</v>
      </c>
      <c r="K89" s="422">
        <v>1390</v>
      </c>
    </row>
    <row r="90" spans="1:11">
      <c r="A90" s="324">
        <v>2.31</v>
      </c>
      <c r="B90" s="152" t="s">
        <v>606</v>
      </c>
      <c r="C90" s="198" t="s">
        <v>16</v>
      </c>
      <c r="D90" s="151"/>
      <c r="E90" s="151"/>
      <c r="F90" s="151"/>
      <c r="G90" s="151"/>
      <c r="H90" s="151"/>
      <c r="I90" s="422">
        <v>15</v>
      </c>
      <c r="J90" s="422">
        <v>12</v>
      </c>
      <c r="K90" s="422">
        <v>5</v>
      </c>
    </row>
    <row r="91" spans="1:11">
      <c r="A91" s="312"/>
      <c r="B91" s="397" t="s">
        <v>607</v>
      </c>
      <c r="C91" s="116"/>
      <c r="D91" s="212"/>
      <c r="E91" s="212"/>
      <c r="F91" s="212"/>
      <c r="G91" s="212"/>
      <c r="H91" s="212"/>
      <c r="I91" s="212"/>
      <c r="J91" s="330"/>
      <c r="K91" s="330"/>
    </row>
    <row r="92" spans="1:11">
      <c r="A92" s="324">
        <v>2.3199999999999998</v>
      </c>
      <c r="B92" s="152" t="s">
        <v>605</v>
      </c>
      <c r="C92" s="198" t="s">
        <v>19</v>
      </c>
      <c r="D92" s="151"/>
      <c r="E92" s="151"/>
      <c r="F92" s="151"/>
      <c r="G92" s="151"/>
      <c r="H92" s="151"/>
      <c r="I92" s="151"/>
      <c r="J92" s="422" t="s">
        <v>961</v>
      </c>
      <c r="K92" s="422" t="s">
        <v>961</v>
      </c>
    </row>
    <row r="93" spans="1:11">
      <c r="A93" s="324">
        <v>2.33</v>
      </c>
      <c r="B93" s="152" t="s">
        <v>606</v>
      </c>
      <c r="C93" s="198" t="s">
        <v>16</v>
      </c>
      <c r="D93" s="151"/>
      <c r="E93" s="151"/>
      <c r="F93" s="151"/>
      <c r="G93" s="151"/>
      <c r="H93" s="151"/>
      <c r="I93" s="151"/>
      <c r="J93" s="422" t="s">
        <v>961</v>
      </c>
      <c r="K93" s="422" t="s">
        <v>961</v>
      </c>
    </row>
    <row r="94" spans="1:11">
      <c r="A94" s="312"/>
      <c r="B94" s="390"/>
      <c r="C94" s="201"/>
      <c r="D94" s="201"/>
      <c r="E94" s="202"/>
      <c r="F94" s="202"/>
      <c r="G94" s="202"/>
      <c r="H94" s="202"/>
      <c r="I94" s="202"/>
      <c r="J94" s="313"/>
      <c r="K94" s="313"/>
    </row>
    <row r="95" spans="1:11">
      <c r="A95" s="440" t="s">
        <v>608</v>
      </c>
      <c r="B95" s="431"/>
      <c r="C95" s="431"/>
      <c r="D95" s="431"/>
      <c r="E95" s="431"/>
      <c r="F95" s="74"/>
      <c r="G95" s="74"/>
      <c r="H95" s="74"/>
      <c r="I95" s="74"/>
      <c r="J95" s="328"/>
      <c r="K95" s="328"/>
    </row>
    <row r="96" spans="1:11">
      <c r="A96" s="304">
        <v>3</v>
      </c>
      <c r="B96" s="398" t="s">
        <v>609</v>
      </c>
      <c r="C96" s="213"/>
      <c r="D96" s="213"/>
      <c r="E96" s="213"/>
      <c r="F96" s="213"/>
      <c r="G96" s="213"/>
      <c r="H96" s="213"/>
      <c r="I96" s="213"/>
      <c r="J96" s="331"/>
      <c r="K96" s="331"/>
    </row>
    <row r="97" spans="1:11">
      <c r="A97" s="314"/>
      <c r="B97" s="388" t="s">
        <v>610</v>
      </c>
      <c r="C97" s="45" t="s">
        <v>4</v>
      </c>
      <c r="D97" s="45" t="str">
        <f>'General Info'!D4</f>
        <v>FY 2008-2009</v>
      </c>
      <c r="E97" s="45" t="str">
        <f>'General Info'!E4</f>
        <v>FY 2009-2010</v>
      </c>
      <c r="F97" s="45" t="str">
        <f>'General Info'!F4</f>
        <v>FY 2010-2011</v>
      </c>
      <c r="G97" s="45" t="str">
        <f>'General Info'!G4</f>
        <v>FY 2011-2012</v>
      </c>
      <c r="H97" s="45" t="str">
        <f>'General Info'!H4</f>
        <v>FY 2012-2013</v>
      </c>
      <c r="I97" s="45" t="str">
        <f>'General Info'!I4</f>
        <v>FY 2013-2014</v>
      </c>
      <c r="J97" s="315" t="str">
        <f>'General Info'!J4</f>
        <v>FY 2014-2015</v>
      </c>
      <c r="K97" s="315" t="str">
        <f>'General Info'!K4</f>
        <v>FY 2015-2016</v>
      </c>
    </row>
    <row r="98" spans="1:11">
      <c r="A98" s="324">
        <v>3.1</v>
      </c>
      <c r="B98" s="152" t="s">
        <v>611</v>
      </c>
      <c r="C98" s="198" t="s">
        <v>227</v>
      </c>
      <c r="D98" s="203"/>
      <c r="E98" s="203"/>
      <c r="F98" s="203"/>
      <c r="G98" s="203"/>
      <c r="H98" s="203"/>
      <c r="I98" s="370" t="s">
        <v>963</v>
      </c>
      <c r="J98" s="370" t="s">
        <v>963</v>
      </c>
      <c r="K98" s="370" t="s">
        <v>963</v>
      </c>
    </row>
    <row r="99" spans="1:11">
      <c r="A99" s="324">
        <v>3.2</v>
      </c>
      <c r="B99" s="393" t="s">
        <v>612</v>
      </c>
      <c r="C99" s="198" t="s">
        <v>255</v>
      </c>
      <c r="D99" s="214"/>
      <c r="E99" s="214"/>
      <c r="F99" s="214"/>
      <c r="G99" s="214"/>
      <c r="H99" s="214"/>
      <c r="I99" s="214"/>
      <c r="J99" s="332"/>
      <c r="K99" s="332"/>
    </row>
    <row r="100" spans="1:11">
      <c r="A100" s="324">
        <v>3.3</v>
      </c>
      <c r="B100" s="393" t="s">
        <v>613</v>
      </c>
      <c r="C100" s="206" t="s">
        <v>614</v>
      </c>
      <c r="D100" s="214"/>
      <c r="E100" s="214"/>
      <c r="F100" s="214"/>
      <c r="G100" s="214"/>
      <c r="H100" s="214"/>
      <c r="I100" s="214"/>
      <c r="J100" s="332"/>
      <c r="K100" s="332"/>
    </row>
    <row r="101" spans="1:11">
      <c r="A101" s="324">
        <v>3.4</v>
      </c>
      <c r="B101" s="152" t="s">
        <v>615</v>
      </c>
      <c r="C101" s="198" t="s">
        <v>227</v>
      </c>
      <c r="D101" s="203"/>
      <c r="E101" s="203"/>
      <c r="F101" s="203"/>
      <c r="G101" s="203"/>
      <c r="H101" s="203"/>
      <c r="I101" s="370" t="s">
        <v>962</v>
      </c>
      <c r="J101" s="370" t="s">
        <v>962</v>
      </c>
      <c r="K101" s="370" t="s">
        <v>962</v>
      </c>
    </row>
    <row r="102" spans="1:11">
      <c r="A102" s="324">
        <v>3.5</v>
      </c>
      <c r="B102" s="393" t="s">
        <v>616</v>
      </c>
      <c r="C102" s="198" t="s">
        <v>255</v>
      </c>
      <c r="D102" s="214"/>
      <c r="E102" s="214"/>
      <c r="F102" s="214"/>
      <c r="G102" s="214"/>
      <c r="H102" s="214"/>
      <c r="I102" s="422">
        <v>10</v>
      </c>
      <c r="J102" s="422">
        <v>60</v>
      </c>
      <c r="K102" s="422">
        <v>80</v>
      </c>
    </row>
    <row r="103" spans="1:11">
      <c r="A103" s="324">
        <v>3.6</v>
      </c>
      <c r="B103" s="393" t="s">
        <v>617</v>
      </c>
      <c r="C103" s="206" t="s">
        <v>614</v>
      </c>
      <c r="D103" s="214"/>
      <c r="E103" s="214"/>
      <c r="F103" s="214"/>
      <c r="G103" s="214"/>
      <c r="H103" s="214"/>
      <c r="I103" s="214"/>
      <c r="J103" s="422">
        <v>3.3</v>
      </c>
      <c r="K103" s="422">
        <v>5</v>
      </c>
    </row>
    <row r="104" spans="1:11">
      <c r="A104" s="324">
        <v>3.7</v>
      </c>
      <c r="B104" s="152" t="s">
        <v>618</v>
      </c>
      <c r="C104" s="198" t="s">
        <v>227</v>
      </c>
      <c r="D104" s="203"/>
      <c r="E104" s="203"/>
      <c r="F104" s="203"/>
      <c r="G104" s="203"/>
      <c r="H104" s="203"/>
      <c r="I104" s="370" t="s">
        <v>962</v>
      </c>
      <c r="J104" s="370" t="s">
        <v>962</v>
      </c>
      <c r="K104" s="370" t="s">
        <v>962</v>
      </c>
    </row>
    <row r="105" spans="1:11">
      <c r="A105" s="324">
        <v>3.8</v>
      </c>
      <c r="B105" s="393" t="s">
        <v>619</v>
      </c>
      <c r="C105" s="206" t="s">
        <v>255</v>
      </c>
      <c r="D105" s="214"/>
      <c r="E105" s="214"/>
      <c r="F105" s="214"/>
      <c r="G105" s="214"/>
      <c r="H105" s="214"/>
      <c r="I105" s="422">
        <v>135.65</v>
      </c>
      <c r="J105" s="422">
        <v>910</v>
      </c>
      <c r="K105" s="422">
        <v>915</v>
      </c>
    </row>
    <row r="106" spans="1:11">
      <c r="A106" s="324">
        <v>3.9</v>
      </c>
      <c r="B106" s="393" t="s">
        <v>620</v>
      </c>
      <c r="C106" s="206" t="s">
        <v>614</v>
      </c>
      <c r="D106" s="214"/>
      <c r="E106" s="214"/>
      <c r="F106" s="214"/>
      <c r="G106" s="214"/>
      <c r="H106" s="214"/>
      <c r="I106" s="214"/>
      <c r="J106" s="422">
        <v>55</v>
      </c>
      <c r="K106" s="422">
        <v>57</v>
      </c>
    </row>
    <row r="107" spans="1:11">
      <c r="A107" s="314"/>
      <c r="B107" s="388" t="s">
        <v>621</v>
      </c>
      <c r="C107" s="45" t="s">
        <v>4</v>
      </c>
      <c r="D107" s="45" t="str">
        <f>'General Info'!D4</f>
        <v>FY 2008-2009</v>
      </c>
      <c r="E107" s="45" t="str">
        <f>'General Info'!E4</f>
        <v>FY 2009-2010</v>
      </c>
      <c r="F107" s="45" t="str">
        <f>'General Info'!F4</f>
        <v>FY 2010-2011</v>
      </c>
      <c r="G107" s="45" t="str">
        <f>'General Info'!G4</f>
        <v>FY 2011-2012</v>
      </c>
      <c r="H107" s="45" t="str">
        <f>'General Info'!H4</f>
        <v>FY 2012-2013</v>
      </c>
      <c r="I107" s="45" t="str">
        <f>'General Info'!I4</f>
        <v>FY 2013-2014</v>
      </c>
      <c r="J107" s="315" t="str">
        <f>'General Info'!J4</f>
        <v>FY 2014-2015</v>
      </c>
      <c r="K107" s="315" t="str">
        <f>'General Info'!K4</f>
        <v>FY 2015-2016</v>
      </c>
    </row>
    <row r="108" spans="1:11">
      <c r="A108" s="323">
        <v>3.1</v>
      </c>
      <c r="B108" s="152" t="s">
        <v>622</v>
      </c>
      <c r="C108" s="198" t="s">
        <v>227</v>
      </c>
      <c r="D108" s="203"/>
      <c r="E108" s="203"/>
      <c r="F108" s="203"/>
      <c r="G108" s="203"/>
      <c r="H108" s="203"/>
      <c r="I108" s="370" t="s">
        <v>962</v>
      </c>
      <c r="J108" s="370" t="s">
        <v>962</v>
      </c>
      <c r="K108" s="370" t="s">
        <v>962</v>
      </c>
    </row>
    <row r="109" spans="1:11">
      <c r="A109" s="324">
        <v>3.11</v>
      </c>
      <c r="B109" s="152" t="s">
        <v>623</v>
      </c>
      <c r="C109" s="198" t="s">
        <v>227</v>
      </c>
      <c r="D109" s="203"/>
      <c r="E109" s="203"/>
      <c r="F109" s="203"/>
      <c r="G109" s="203"/>
      <c r="H109" s="203"/>
      <c r="I109" s="203"/>
      <c r="J109" s="370" t="s">
        <v>961</v>
      </c>
      <c r="K109" s="316"/>
    </row>
    <row r="110" spans="1:11">
      <c r="A110" s="324">
        <v>3.12</v>
      </c>
      <c r="B110" s="152" t="s">
        <v>624</v>
      </c>
      <c r="C110" s="198" t="s">
        <v>19</v>
      </c>
      <c r="D110" s="151"/>
      <c r="E110" s="151"/>
      <c r="F110" s="151"/>
      <c r="G110" s="151"/>
      <c r="H110" s="151"/>
      <c r="I110" s="421">
        <v>22639</v>
      </c>
      <c r="J110" s="421">
        <v>22639</v>
      </c>
      <c r="K110" s="421">
        <v>25030</v>
      </c>
    </row>
    <row r="111" spans="1:11" s="281" customFormat="1">
      <c r="A111" s="324">
        <v>3.13</v>
      </c>
      <c r="B111" s="285" t="s">
        <v>625</v>
      </c>
      <c r="C111" s="277" t="s">
        <v>19</v>
      </c>
      <c r="D111" s="151"/>
      <c r="E111" s="151"/>
      <c r="F111" s="151"/>
      <c r="G111" s="151"/>
      <c r="H111" s="151"/>
      <c r="I111" s="151"/>
      <c r="J111" s="422" t="s">
        <v>961</v>
      </c>
      <c r="K111" s="422" t="s">
        <v>961</v>
      </c>
    </row>
    <row r="112" spans="1:11" s="281" customFormat="1">
      <c r="A112" s="324">
        <v>3.14</v>
      </c>
      <c r="B112" s="152" t="s">
        <v>626</v>
      </c>
      <c r="C112" s="198" t="s">
        <v>19</v>
      </c>
      <c r="D112" s="151"/>
      <c r="E112" s="151"/>
      <c r="F112" s="151"/>
      <c r="G112" s="151"/>
      <c r="H112" s="151"/>
      <c r="I112" s="421">
        <v>0</v>
      </c>
      <c r="J112" s="422" t="s">
        <v>961</v>
      </c>
      <c r="K112" s="422" t="s">
        <v>961</v>
      </c>
    </row>
    <row r="113" spans="1:11" s="281" customFormat="1">
      <c r="A113" s="324">
        <v>3.15</v>
      </c>
      <c r="B113" s="152" t="s">
        <v>627</v>
      </c>
      <c r="C113" s="198" t="s">
        <v>19</v>
      </c>
      <c r="D113" s="151"/>
      <c r="E113" s="151"/>
      <c r="F113" s="151"/>
      <c r="G113" s="151"/>
      <c r="H113" s="151"/>
      <c r="I113" s="421">
        <v>0</v>
      </c>
      <c r="J113" s="422" t="s">
        <v>961</v>
      </c>
      <c r="K113" s="421">
        <v>0</v>
      </c>
    </row>
    <row r="114" spans="1:11" s="281" customFormat="1">
      <c r="A114" s="324">
        <v>3.16</v>
      </c>
      <c r="B114" s="285" t="s">
        <v>628</v>
      </c>
      <c r="C114" s="277" t="s">
        <v>19</v>
      </c>
      <c r="D114" s="286"/>
      <c r="E114" s="286"/>
      <c r="F114" s="286"/>
      <c r="G114" s="286"/>
      <c r="H114" s="286"/>
      <c r="I114" s="286"/>
      <c r="J114" s="421">
        <v>48</v>
      </c>
      <c r="K114" s="421">
        <v>80</v>
      </c>
    </row>
    <row r="115" spans="1:11" s="281" customFormat="1">
      <c r="A115" s="324">
        <v>3.17</v>
      </c>
      <c r="B115" s="285" t="s">
        <v>629</v>
      </c>
      <c r="C115" s="277" t="s">
        <v>19</v>
      </c>
      <c r="D115" s="286"/>
      <c r="E115" s="286"/>
      <c r="F115" s="286"/>
      <c r="G115" s="286"/>
      <c r="H115" s="286"/>
      <c r="I115" s="286"/>
      <c r="J115" s="421">
        <v>48</v>
      </c>
      <c r="K115" s="421">
        <v>80</v>
      </c>
    </row>
    <row r="116" spans="1:11" s="281" customFormat="1">
      <c r="A116" s="324">
        <v>3.18</v>
      </c>
      <c r="B116" s="285" t="s">
        <v>630</v>
      </c>
      <c r="C116" s="277" t="s">
        <v>19</v>
      </c>
      <c r="D116" s="286"/>
      <c r="E116" s="286"/>
      <c r="F116" s="286"/>
      <c r="G116" s="286"/>
      <c r="H116" s="286"/>
      <c r="I116" s="286"/>
      <c r="J116" s="422" t="s">
        <v>961</v>
      </c>
      <c r="K116" s="333"/>
    </row>
    <row r="117" spans="1:11" s="281" customFormat="1">
      <c r="A117" s="324">
        <v>3.19</v>
      </c>
      <c r="B117" s="152" t="s">
        <v>631</v>
      </c>
      <c r="C117" s="198" t="s">
        <v>19</v>
      </c>
      <c r="D117" s="151"/>
      <c r="E117" s="151"/>
      <c r="F117" s="151"/>
      <c r="G117" s="151"/>
      <c r="H117" s="151"/>
      <c r="I117" s="421">
        <v>0</v>
      </c>
      <c r="J117" s="422" t="s">
        <v>961</v>
      </c>
      <c r="K117" s="422" t="s">
        <v>961</v>
      </c>
    </row>
    <row r="118" spans="1:11" s="281" customFormat="1">
      <c r="A118" s="323">
        <v>3.2</v>
      </c>
      <c r="B118" s="152" t="s">
        <v>632</v>
      </c>
      <c r="C118" s="198" t="s">
        <v>227</v>
      </c>
      <c r="D118" s="203"/>
      <c r="E118" s="203"/>
      <c r="F118" s="203"/>
      <c r="G118" s="203"/>
      <c r="H118" s="203"/>
      <c r="I118" s="370" t="s">
        <v>963</v>
      </c>
      <c r="J118" s="370" t="s">
        <v>963</v>
      </c>
      <c r="K118" s="370" t="s">
        <v>963</v>
      </c>
    </row>
    <row r="119" spans="1:11" s="281" customFormat="1">
      <c r="A119" s="324">
        <v>3.21</v>
      </c>
      <c r="B119" s="399" t="s">
        <v>633</v>
      </c>
      <c r="C119" s="215" t="s">
        <v>634</v>
      </c>
      <c r="D119" s="199"/>
      <c r="E119" s="199"/>
      <c r="F119" s="199"/>
      <c r="G119" s="199"/>
      <c r="H119" s="199"/>
      <c r="I119" s="199"/>
      <c r="J119" s="334"/>
      <c r="K119" s="334"/>
    </row>
    <row r="120" spans="1:11" s="281" customFormat="1">
      <c r="A120" s="335"/>
      <c r="B120" s="392" t="s">
        <v>635</v>
      </c>
      <c r="C120" s="216"/>
      <c r="D120" s="217"/>
      <c r="E120" s="205"/>
      <c r="F120" s="205"/>
      <c r="G120" s="205"/>
      <c r="H120" s="205"/>
      <c r="I120" s="205"/>
      <c r="J120" s="320"/>
      <c r="K120" s="320"/>
    </row>
    <row r="121" spans="1:11">
      <c r="A121" s="314"/>
      <c r="B121" s="388" t="s">
        <v>636</v>
      </c>
      <c r="C121" s="45" t="s">
        <v>4</v>
      </c>
      <c r="D121" s="45" t="str">
        <f>'General Info'!D4</f>
        <v>FY 2008-2009</v>
      </c>
      <c r="E121" s="45" t="str">
        <f>'General Info'!E4</f>
        <v>FY 2009-2010</v>
      </c>
      <c r="F121" s="45" t="str">
        <f>'General Info'!F4</f>
        <v>FY 2010-2011</v>
      </c>
      <c r="G121" s="45" t="str">
        <f>'General Info'!G4</f>
        <v>FY 2011-2012</v>
      </c>
      <c r="H121" s="45" t="str">
        <f>'General Info'!H4</f>
        <v>FY 2012-2013</v>
      </c>
      <c r="I121" s="45" t="str">
        <f>'General Info'!I4</f>
        <v>FY 2013-2014</v>
      </c>
      <c r="J121" s="315" t="str">
        <f>'General Info'!J4</f>
        <v>FY 2014-2015</v>
      </c>
      <c r="K121" s="315" t="str">
        <f>'General Info'!K4</f>
        <v>FY 2015-2016</v>
      </c>
    </row>
    <row r="122" spans="1:11">
      <c r="A122" s="324">
        <v>3.22</v>
      </c>
      <c r="B122" s="152" t="s">
        <v>637</v>
      </c>
      <c r="C122" s="198" t="s">
        <v>227</v>
      </c>
      <c r="D122" s="203"/>
      <c r="E122" s="203"/>
      <c r="F122" s="203"/>
      <c r="G122" s="203"/>
      <c r="H122" s="203"/>
      <c r="I122" s="370" t="s">
        <v>963</v>
      </c>
      <c r="J122" s="370" t="s">
        <v>963</v>
      </c>
      <c r="K122" s="370" t="s">
        <v>963</v>
      </c>
    </row>
    <row r="123" spans="1:11">
      <c r="A123" s="324">
        <v>3.23</v>
      </c>
      <c r="B123" s="393" t="s">
        <v>638</v>
      </c>
      <c r="C123" s="199" t="s">
        <v>639</v>
      </c>
      <c r="D123" s="200"/>
      <c r="E123" s="200"/>
      <c r="F123" s="200"/>
      <c r="G123" s="200"/>
      <c r="H123" s="200"/>
      <c r="I123" s="200"/>
      <c r="J123" s="311"/>
      <c r="K123" s="311"/>
    </row>
    <row r="124" spans="1:11">
      <c r="A124" s="324">
        <v>3.24</v>
      </c>
      <c r="B124" s="393" t="s">
        <v>640</v>
      </c>
      <c r="C124" s="199" t="s">
        <v>639</v>
      </c>
      <c r="D124" s="200"/>
      <c r="E124" s="200"/>
      <c r="F124" s="200"/>
      <c r="G124" s="200"/>
      <c r="H124" s="200"/>
      <c r="I124" s="200"/>
      <c r="J124" s="311"/>
      <c r="K124" s="311"/>
    </row>
    <row r="125" spans="1:11">
      <c r="A125" s="324">
        <v>3.25</v>
      </c>
      <c r="B125" s="152" t="s">
        <v>641</v>
      </c>
      <c r="C125" s="198" t="s">
        <v>227</v>
      </c>
      <c r="D125" s="203"/>
      <c r="E125" s="203"/>
      <c r="F125" s="203"/>
      <c r="G125" s="203"/>
      <c r="H125" s="203"/>
      <c r="I125" s="203"/>
      <c r="J125" s="370" t="s">
        <v>963</v>
      </c>
      <c r="K125" s="370" t="s">
        <v>963</v>
      </c>
    </row>
    <row r="126" spans="1:11">
      <c r="A126" s="324">
        <v>3.26</v>
      </c>
      <c r="B126" s="393" t="s">
        <v>642</v>
      </c>
      <c r="C126" s="198" t="s">
        <v>96</v>
      </c>
      <c r="D126" s="200"/>
      <c r="E126" s="200"/>
      <c r="F126" s="200"/>
      <c r="G126" s="200"/>
      <c r="H126" s="200"/>
      <c r="I126" s="200"/>
      <c r="J126" s="311"/>
      <c r="K126" s="422" t="s">
        <v>961</v>
      </c>
    </row>
    <row r="127" spans="1:11">
      <c r="A127" s="324">
        <v>3.27</v>
      </c>
      <c r="B127" s="393" t="s">
        <v>643</v>
      </c>
      <c r="C127" s="206" t="s">
        <v>548</v>
      </c>
      <c r="D127" s="199"/>
      <c r="E127" s="199"/>
      <c r="F127" s="199"/>
      <c r="G127" s="199"/>
      <c r="H127" s="199"/>
      <c r="I127" s="199"/>
      <c r="J127" s="334"/>
      <c r="K127" s="421">
        <v>4</v>
      </c>
    </row>
    <row r="128" spans="1:11">
      <c r="A128" s="312"/>
      <c r="B128" s="392" t="s">
        <v>644</v>
      </c>
      <c r="C128" s="201"/>
      <c r="D128" s="201"/>
      <c r="E128" s="202"/>
      <c r="F128" s="202"/>
      <c r="G128" s="202"/>
      <c r="H128" s="202"/>
      <c r="I128" s="202"/>
      <c r="J128" s="313"/>
      <c r="K128" s="313"/>
    </row>
    <row r="129" spans="1:11">
      <c r="A129" s="314"/>
      <c r="B129" s="388" t="s">
        <v>645</v>
      </c>
      <c r="C129" s="45" t="s">
        <v>4</v>
      </c>
      <c r="D129" s="45" t="str">
        <f>'General Info'!D4</f>
        <v>FY 2008-2009</v>
      </c>
      <c r="E129" s="45" t="str">
        <f>'General Info'!E4</f>
        <v>FY 2009-2010</v>
      </c>
      <c r="F129" s="45" t="str">
        <f>'General Info'!F4</f>
        <v>FY 2010-2011</v>
      </c>
      <c r="G129" s="45" t="str">
        <f>'General Info'!G4</f>
        <v>FY 2011-2012</v>
      </c>
      <c r="H129" s="45" t="str">
        <f>'General Info'!H4</f>
        <v>FY 2012-2013</v>
      </c>
      <c r="I129" s="45" t="str">
        <f>'General Info'!I4</f>
        <v>FY 2013-2014</v>
      </c>
      <c r="J129" s="315" t="str">
        <f>'General Info'!J4</f>
        <v>FY 2014-2015</v>
      </c>
      <c r="K129" s="315" t="str">
        <f>'General Info'!K4</f>
        <v>FY 2015-2016</v>
      </c>
    </row>
    <row r="130" spans="1:11">
      <c r="A130" s="324">
        <v>3.28</v>
      </c>
      <c r="B130" s="152" t="s">
        <v>646</v>
      </c>
      <c r="C130" s="198" t="s">
        <v>548</v>
      </c>
      <c r="D130" s="203"/>
      <c r="E130" s="203"/>
      <c r="F130" s="203"/>
      <c r="G130" s="203"/>
      <c r="H130" s="203"/>
      <c r="I130" s="203"/>
      <c r="J130" s="421">
        <v>5</v>
      </c>
      <c r="K130" s="421">
        <v>3</v>
      </c>
    </row>
    <row r="131" spans="1:11">
      <c r="A131" s="324">
        <v>3.29</v>
      </c>
      <c r="B131" s="152" t="s">
        <v>647</v>
      </c>
      <c r="C131" s="198" t="s">
        <v>548</v>
      </c>
      <c r="D131" s="203"/>
      <c r="E131" s="203"/>
      <c r="F131" s="203"/>
      <c r="G131" s="203"/>
      <c r="H131" s="203"/>
      <c r="I131" s="203"/>
      <c r="J131" s="421">
        <v>5</v>
      </c>
      <c r="K131" s="421">
        <v>3</v>
      </c>
    </row>
    <row r="132" spans="1:11">
      <c r="A132" s="323">
        <v>3.3</v>
      </c>
      <c r="B132" s="152" t="s">
        <v>648</v>
      </c>
      <c r="C132" s="198" t="s">
        <v>548</v>
      </c>
      <c r="D132" s="203"/>
      <c r="E132" s="203"/>
      <c r="F132" s="203"/>
      <c r="G132" s="203"/>
      <c r="H132" s="203"/>
      <c r="I132" s="203"/>
      <c r="J132" s="421">
        <v>5</v>
      </c>
      <c r="K132" s="421">
        <v>3</v>
      </c>
    </row>
    <row r="133" spans="1:11">
      <c r="A133" s="312"/>
      <c r="B133" s="392" t="s">
        <v>649</v>
      </c>
      <c r="C133" s="201"/>
      <c r="D133" s="201"/>
      <c r="E133" s="202"/>
      <c r="F133" s="202"/>
      <c r="G133" s="202"/>
      <c r="H133" s="202"/>
      <c r="I133" s="202"/>
      <c r="J133" s="313"/>
      <c r="K133" s="313"/>
    </row>
    <row r="134" spans="1:11">
      <c r="A134" s="314"/>
      <c r="B134" s="388" t="s">
        <v>650</v>
      </c>
      <c r="C134" s="45" t="s">
        <v>4</v>
      </c>
      <c r="D134" s="45" t="str">
        <f>'General Info'!D4</f>
        <v>FY 2008-2009</v>
      </c>
      <c r="E134" s="45" t="str">
        <f>'General Info'!E4</f>
        <v>FY 2009-2010</v>
      </c>
      <c r="F134" s="45" t="str">
        <f>'General Info'!F4</f>
        <v>FY 2010-2011</v>
      </c>
      <c r="G134" s="45" t="str">
        <f>'General Info'!G4</f>
        <v>FY 2011-2012</v>
      </c>
      <c r="H134" s="45" t="str">
        <f>'General Info'!H4</f>
        <v>FY 2012-2013</v>
      </c>
      <c r="I134" s="45" t="str">
        <f>'General Info'!I4</f>
        <v>FY 2013-2014</v>
      </c>
      <c r="J134" s="315" t="str">
        <f>'General Info'!J4</f>
        <v>FY 2014-2015</v>
      </c>
      <c r="K134" s="315" t="str">
        <f>'General Info'!K4</f>
        <v>FY 2015-2016</v>
      </c>
    </row>
    <row r="135" spans="1:11">
      <c r="A135" s="324">
        <v>3.31</v>
      </c>
      <c r="B135" s="152" t="s">
        <v>651</v>
      </c>
      <c r="C135" s="198" t="s">
        <v>19</v>
      </c>
      <c r="D135" s="151"/>
      <c r="E135" s="151"/>
      <c r="F135" s="151"/>
      <c r="G135" s="151"/>
      <c r="H135" s="151"/>
      <c r="I135" s="421">
        <v>22400</v>
      </c>
      <c r="J135" s="421">
        <v>22400</v>
      </c>
      <c r="K135" s="421">
        <v>20640</v>
      </c>
    </row>
    <row r="136" spans="1:11" s="281" customFormat="1">
      <c r="A136" s="324">
        <v>3.32</v>
      </c>
      <c r="B136" s="285" t="s">
        <v>652</v>
      </c>
      <c r="C136" s="277" t="s">
        <v>19</v>
      </c>
      <c r="D136" s="151"/>
      <c r="E136" s="151"/>
      <c r="F136" s="151"/>
      <c r="G136" s="151"/>
      <c r="H136" s="151"/>
      <c r="I136" s="151"/>
      <c r="J136" s="421">
        <v>18000</v>
      </c>
      <c r="K136" s="421">
        <v>20420</v>
      </c>
    </row>
    <row r="137" spans="1:11" s="281" customFormat="1">
      <c r="A137" s="324">
        <v>3.33</v>
      </c>
      <c r="B137" s="285" t="s">
        <v>653</v>
      </c>
      <c r="C137" s="277" t="s">
        <v>19</v>
      </c>
      <c r="D137" s="151"/>
      <c r="E137" s="151"/>
      <c r="F137" s="151"/>
      <c r="G137" s="151"/>
      <c r="H137" s="151"/>
      <c r="I137" s="151"/>
      <c r="J137" s="422" t="s">
        <v>965</v>
      </c>
      <c r="K137" s="421">
        <v>2150</v>
      </c>
    </row>
    <row r="138" spans="1:11" s="281" customFormat="1">
      <c r="A138" s="324">
        <v>3.34</v>
      </c>
      <c r="B138" s="285" t="s">
        <v>654</v>
      </c>
      <c r="C138" s="277" t="s">
        <v>19</v>
      </c>
      <c r="D138" s="151"/>
      <c r="E138" s="151"/>
      <c r="F138" s="151"/>
      <c r="G138" s="151"/>
      <c r="H138" s="151"/>
      <c r="I138" s="151"/>
      <c r="J138" s="422" t="s">
        <v>965</v>
      </c>
      <c r="K138" s="421">
        <v>20420</v>
      </c>
    </row>
    <row r="139" spans="1:11" s="281" customFormat="1">
      <c r="A139" s="324">
        <v>3.35</v>
      </c>
      <c r="B139" s="285" t="s">
        <v>655</v>
      </c>
      <c r="C139" s="277" t="s">
        <v>19</v>
      </c>
      <c r="D139" s="151"/>
      <c r="E139" s="151"/>
      <c r="F139" s="151"/>
      <c r="G139" s="151"/>
      <c r="H139" s="151"/>
      <c r="I139" s="151"/>
      <c r="J139" s="422" t="s">
        <v>961</v>
      </c>
      <c r="K139" s="421">
        <v>0</v>
      </c>
    </row>
    <row r="140" spans="1:11" s="281" customFormat="1">
      <c r="A140" s="324">
        <v>3.36</v>
      </c>
      <c r="B140" s="285" t="s">
        <v>656</v>
      </c>
      <c r="C140" s="277" t="s">
        <v>19</v>
      </c>
      <c r="D140" s="151"/>
      <c r="E140" s="151"/>
      <c r="F140" s="151"/>
      <c r="G140" s="151"/>
      <c r="H140" s="151"/>
      <c r="I140" s="151"/>
      <c r="J140" s="421">
        <v>14400</v>
      </c>
      <c r="K140" s="421">
        <v>960</v>
      </c>
    </row>
    <row r="141" spans="1:11" s="281" customFormat="1">
      <c r="A141" s="324">
        <v>3.37</v>
      </c>
      <c r="B141" s="285" t="s">
        <v>657</v>
      </c>
      <c r="C141" s="277" t="s">
        <v>19</v>
      </c>
      <c r="D141" s="151"/>
      <c r="E141" s="151"/>
      <c r="F141" s="151"/>
      <c r="G141" s="151"/>
      <c r="H141" s="151"/>
      <c r="I141" s="151"/>
      <c r="J141" s="421">
        <v>3600</v>
      </c>
      <c r="K141" s="421">
        <v>3650</v>
      </c>
    </row>
    <row r="142" spans="1:11" s="281" customFormat="1" ht="25.5">
      <c r="A142" s="324">
        <v>3.38</v>
      </c>
      <c r="B142" s="285" t="s">
        <v>658</v>
      </c>
      <c r="C142" s="277" t="s">
        <v>19</v>
      </c>
      <c r="D142" s="151"/>
      <c r="E142" s="151"/>
      <c r="F142" s="151"/>
      <c r="G142" s="151"/>
      <c r="H142" s="151"/>
      <c r="I142" s="151"/>
      <c r="J142" s="310"/>
      <c r="K142" s="421">
        <v>0</v>
      </c>
    </row>
    <row r="143" spans="1:11" s="281" customFormat="1">
      <c r="A143" s="324">
        <v>3.39</v>
      </c>
      <c r="B143" s="285" t="s">
        <v>659</v>
      </c>
      <c r="C143" s="277" t="s">
        <v>19</v>
      </c>
      <c r="D143" s="151"/>
      <c r="E143" s="151"/>
      <c r="F143" s="151"/>
      <c r="G143" s="151"/>
      <c r="H143" s="151"/>
      <c r="I143" s="151"/>
      <c r="J143" s="310"/>
      <c r="K143" s="421">
        <v>0</v>
      </c>
    </row>
    <row r="144" spans="1:11" s="281" customFormat="1">
      <c r="A144" s="323">
        <v>3.4</v>
      </c>
      <c r="B144" s="152" t="s">
        <v>660</v>
      </c>
      <c r="C144" s="198" t="s">
        <v>19</v>
      </c>
      <c r="D144" s="151"/>
      <c r="E144" s="151"/>
      <c r="F144" s="151"/>
      <c r="G144" s="151"/>
      <c r="H144" s="151"/>
      <c r="I144" s="421">
        <v>22639</v>
      </c>
      <c r="J144" s="421">
        <v>22639</v>
      </c>
      <c r="K144" s="421">
        <v>20710</v>
      </c>
    </row>
    <row r="145" spans="1:11" s="281" customFormat="1">
      <c r="A145" s="324">
        <v>3.41</v>
      </c>
      <c r="B145" s="152" t="s">
        <v>661</v>
      </c>
      <c r="C145" s="198" t="s">
        <v>19</v>
      </c>
      <c r="D145" s="151"/>
      <c r="E145" s="151"/>
      <c r="F145" s="151"/>
      <c r="G145" s="151"/>
      <c r="H145" s="151"/>
      <c r="I145" s="421">
        <v>530</v>
      </c>
      <c r="J145" s="421">
        <v>550</v>
      </c>
      <c r="K145" s="421">
        <v>580</v>
      </c>
    </row>
    <row r="146" spans="1:11" s="281" customFormat="1">
      <c r="A146" s="324">
        <v>3.42</v>
      </c>
      <c r="B146" s="396" t="s">
        <v>662</v>
      </c>
      <c r="C146" s="196" t="s">
        <v>663</v>
      </c>
      <c r="D146" s="309" t="e">
        <f>230*(D136+D140)*'General Info'!D12/10^3</f>
        <v>#DIV/0!</v>
      </c>
      <c r="E146" s="309" t="e">
        <f>230*(E136+E140)*'General Info'!E12/10^3</f>
        <v>#DIV/0!</v>
      </c>
      <c r="F146" s="309">
        <f>230*(F136+F140)*'General Info'!F12/10^3</f>
        <v>0</v>
      </c>
      <c r="G146" s="309">
        <f>230*(G136+G140)*'General Info'!G12/10^3</f>
        <v>0</v>
      </c>
      <c r="H146" s="309">
        <f>230*(H136+H140)*'General Info'!H12/10^3</f>
        <v>0</v>
      </c>
      <c r="I146" s="309">
        <f>230*(I136+I140)*'General Info'!I12/10^3</f>
        <v>0</v>
      </c>
      <c r="J146" s="309">
        <f>230*(J136+J140)*'General Info'!J12/10^3</f>
        <v>34698.876669539</v>
      </c>
      <c r="K146" s="309">
        <f>230*(K136+K140)*'General Info'!K12/10^3</f>
        <v>22897.031050858248</v>
      </c>
    </row>
    <row r="147" spans="1:11" s="281" customFormat="1">
      <c r="A147" s="324">
        <v>3.43</v>
      </c>
      <c r="B147" s="152" t="s">
        <v>664</v>
      </c>
      <c r="C147" s="198" t="s">
        <v>665</v>
      </c>
      <c r="D147" s="151"/>
      <c r="E147" s="151"/>
      <c r="F147" s="151"/>
      <c r="G147" s="151"/>
      <c r="H147" s="151"/>
      <c r="I147" s="151"/>
      <c r="J147" s="310"/>
      <c r="K147" s="422">
        <v>3</v>
      </c>
    </row>
    <row r="148" spans="1:11" s="281" customFormat="1">
      <c r="A148" s="324">
        <v>3.44</v>
      </c>
      <c r="B148" s="152" t="s">
        <v>666</v>
      </c>
      <c r="C148" s="198" t="s">
        <v>19</v>
      </c>
      <c r="D148" s="151"/>
      <c r="E148" s="151"/>
      <c r="F148" s="151"/>
      <c r="G148" s="151"/>
      <c r="H148" s="151"/>
      <c r="I148" s="151"/>
      <c r="J148" s="310"/>
      <c r="K148" s="422">
        <v>780</v>
      </c>
    </row>
    <row r="149" spans="1:11">
      <c r="A149" s="324">
        <v>3.45</v>
      </c>
      <c r="B149" s="396" t="s">
        <v>667</v>
      </c>
      <c r="C149" s="196" t="s">
        <v>663</v>
      </c>
      <c r="D149" s="309">
        <f t="shared" ref="D149:K149" si="1">D147*D148</f>
        <v>0</v>
      </c>
      <c r="E149" s="309">
        <f t="shared" si="1"/>
        <v>0</v>
      </c>
      <c r="F149" s="309">
        <f t="shared" si="1"/>
        <v>0</v>
      </c>
      <c r="G149" s="309">
        <f t="shared" si="1"/>
        <v>0</v>
      </c>
      <c r="H149" s="309">
        <f t="shared" si="1"/>
        <v>0</v>
      </c>
      <c r="I149" s="309">
        <f t="shared" si="1"/>
        <v>0</v>
      </c>
      <c r="J149" s="309">
        <f t="shared" si="1"/>
        <v>0</v>
      </c>
      <c r="K149" s="309">
        <f t="shared" si="1"/>
        <v>2340</v>
      </c>
    </row>
    <row r="150" spans="1:11" s="281" customFormat="1" ht="25.5">
      <c r="A150" s="324">
        <v>3.46</v>
      </c>
      <c r="B150" s="285" t="s">
        <v>668</v>
      </c>
      <c r="C150" s="277" t="s">
        <v>96</v>
      </c>
      <c r="D150" s="151"/>
      <c r="E150" s="151"/>
      <c r="F150" s="151"/>
      <c r="G150" s="151"/>
      <c r="H150" s="151"/>
      <c r="I150" s="151"/>
      <c r="J150" s="422">
        <v>0</v>
      </c>
      <c r="K150" s="422">
        <v>0</v>
      </c>
    </row>
    <row r="151" spans="1:11" s="281" customFormat="1">
      <c r="A151" s="324">
        <v>3.47</v>
      </c>
      <c r="B151" s="393" t="s">
        <v>669</v>
      </c>
      <c r="C151" s="206" t="s">
        <v>670</v>
      </c>
      <c r="D151" s="218"/>
      <c r="E151" s="218"/>
      <c r="F151" s="218"/>
      <c r="G151" s="218"/>
      <c r="H151" s="218"/>
      <c r="I151" s="422">
        <v>300</v>
      </c>
      <c r="J151" s="422">
        <v>300</v>
      </c>
      <c r="K151" s="422">
        <v>300</v>
      </c>
    </row>
    <row r="152" spans="1:11" s="281" customFormat="1">
      <c r="A152" s="324">
        <v>3.48</v>
      </c>
      <c r="B152" s="393" t="s">
        <v>671</v>
      </c>
      <c r="C152" s="206" t="s">
        <v>670</v>
      </c>
      <c r="D152" s="218"/>
      <c r="E152" s="218"/>
      <c r="F152" s="218"/>
      <c r="G152" s="218"/>
      <c r="H152" s="218"/>
      <c r="I152" s="422">
        <v>0</v>
      </c>
      <c r="J152" s="422">
        <v>0</v>
      </c>
      <c r="K152" s="422">
        <v>0</v>
      </c>
    </row>
    <row r="153" spans="1:11" s="281" customFormat="1">
      <c r="A153" s="324">
        <v>3.49</v>
      </c>
      <c r="B153" s="152" t="s">
        <v>672</v>
      </c>
      <c r="C153" s="198" t="s">
        <v>227</v>
      </c>
      <c r="D153" s="203"/>
      <c r="E153" s="203"/>
      <c r="F153" s="203"/>
      <c r="G153" s="203"/>
      <c r="H153" s="203"/>
      <c r="I153" s="370" t="s">
        <v>963</v>
      </c>
      <c r="J153" s="370" t="s">
        <v>963</v>
      </c>
      <c r="K153" s="370" t="s">
        <v>963</v>
      </c>
    </row>
    <row r="154" spans="1:11" s="281" customFormat="1">
      <c r="A154" s="323">
        <v>3.5</v>
      </c>
      <c r="B154" s="287" t="s">
        <v>673</v>
      </c>
      <c r="C154" s="277" t="s">
        <v>674</v>
      </c>
      <c r="D154" s="203"/>
      <c r="E154" s="203"/>
      <c r="F154" s="203"/>
      <c r="G154" s="203"/>
      <c r="H154" s="203"/>
      <c r="I154" s="203"/>
      <c r="J154" s="316"/>
      <c r="K154" s="316"/>
    </row>
    <row r="155" spans="1:11" s="281" customFormat="1" ht="24">
      <c r="A155" s="324"/>
      <c r="B155" s="288" t="s">
        <v>675</v>
      </c>
      <c r="C155" s="277"/>
      <c r="D155" s="203"/>
      <c r="E155" s="203"/>
      <c r="F155" s="203"/>
      <c r="G155" s="203"/>
      <c r="H155" s="203"/>
      <c r="I155" s="203"/>
      <c r="J155" s="316"/>
      <c r="K155" s="316"/>
    </row>
    <row r="156" spans="1:11">
      <c r="A156" s="324">
        <v>3.51</v>
      </c>
      <c r="B156" s="400" t="s">
        <v>676</v>
      </c>
      <c r="C156" s="219" t="s">
        <v>663</v>
      </c>
      <c r="D156" s="220"/>
      <c r="E156" s="220"/>
      <c r="F156" s="220"/>
      <c r="G156" s="203"/>
      <c r="H156" s="221"/>
      <c r="I156" s="422">
        <v>0</v>
      </c>
      <c r="J156" s="336"/>
      <c r="K156" s="336"/>
    </row>
    <row r="157" spans="1:11">
      <c r="A157" s="324">
        <v>3.52</v>
      </c>
      <c r="B157" s="400" t="s">
        <v>677</v>
      </c>
      <c r="C157" s="219" t="s">
        <v>663</v>
      </c>
      <c r="D157" s="219"/>
      <c r="E157" s="220"/>
      <c r="F157" s="220"/>
      <c r="G157" s="203"/>
      <c r="H157" s="221"/>
      <c r="I157" s="422">
        <v>0</v>
      </c>
      <c r="J157" s="336"/>
      <c r="K157" s="336"/>
    </row>
    <row r="158" spans="1:11">
      <c r="A158" s="324">
        <v>3.53</v>
      </c>
      <c r="B158" s="400" t="s">
        <v>678</v>
      </c>
      <c r="C158" s="219" t="s">
        <v>679</v>
      </c>
      <c r="D158" s="219"/>
      <c r="E158" s="220"/>
      <c r="F158" s="220"/>
      <c r="G158" s="203"/>
      <c r="H158" s="221"/>
      <c r="I158" s="422">
        <v>0</v>
      </c>
      <c r="J158" s="336"/>
      <c r="K158" s="336"/>
    </row>
    <row r="159" spans="1:11">
      <c r="A159" s="324">
        <v>3.54</v>
      </c>
      <c r="B159" s="401" t="s">
        <v>680</v>
      </c>
      <c r="C159" s="219" t="s">
        <v>19</v>
      </c>
      <c r="D159" s="219"/>
      <c r="E159" s="220"/>
      <c r="F159" s="220"/>
      <c r="G159" s="203"/>
      <c r="H159" s="221"/>
      <c r="I159" s="421">
        <v>0</v>
      </c>
      <c r="J159" s="336"/>
      <c r="K159" s="336"/>
    </row>
    <row r="160" spans="1:11">
      <c r="A160" s="324">
        <v>3.55</v>
      </c>
      <c r="B160" s="401" t="s">
        <v>681</v>
      </c>
      <c r="C160" s="219" t="s">
        <v>19</v>
      </c>
      <c r="D160" s="219"/>
      <c r="E160" s="220"/>
      <c r="F160" s="220"/>
      <c r="G160" s="203"/>
      <c r="H160" s="221"/>
      <c r="I160" s="421">
        <v>0</v>
      </c>
      <c r="J160" s="336"/>
      <c r="K160" s="336"/>
    </row>
    <row r="161" spans="1:11">
      <c r="A161" s="324">
        <v>3.56</v>
      </c>
      <c r="B161" s="152" t="s">
        <v>682</v>
      </c>
      <c r="C161" s="198" t="s">
        <v>548</v>
      </c>
      <c r="D161" s="203"/>
      <c r="E161" s="203"/>
      <c r="F161" s="203"/>
      <c r="G161" s="203"/>
      <c r="H161" s="203"/>
      <c r="I161" s="421">
        <v>2</v>
      </c>
      <c r="J161" s="422" t="s">
        <v>964</v>
      </c>
      <c r="K161" s="421">
        <v>2</v>
      </c>
    </row>
    <row r="162" spans="1:11" ht="12.75" customHeight="1">
      <c r="A162" s="335"/>
      <c r="B162" s="450" t="s">
        <v>683</v>
      </c>
      <c r="C162" s="451"/>
      <c r="D162" s="451"/>
      <c r="E162" s="451"/>
      <c r="F162" s="451"/>
      <c r="G162" s="451"/>
      <c r="H162" s="451"/>
      <c r="I162" s="451"/>
      <c r="J162" s="451"/>
      <c r="K162" s="452"/>
    </row>
    <row r="163" spans="1:11" s="281" customFormat="1" ht="25.5">
      <c r="A163" s="279">
        <v>3.57</v>
      </c>
      <c r="B163" s="293" t="s">
        <v>684</v>
      </c>
      <c r="C163" s="289" t="s">
        <v>227</v>
      </c>
      <c r="D163" s="219"/>
      <c r="E163" s="220"/>
      <c r="F163" s="220"/>
      <c r="G163" s="203"/>
      <c r="H163" s="221"/>
      <c r="I163" s="221"/>
      <c r="J163" s="370" t="s">
        <v>963</v>
      </c>
      <c r="K163" s="370" t="s">
        <v>963</v>
      </c>
    </row>
    <row r="164" spans="1:11" s="281" customFormat="1">
      <c r="A164" s="279">
        <v>3.58</v>
      </c>
      <c r="B164" s="294" t="s">
        <v>685</v>
      </c>
      <c r="C164" s="290" t="s">
        <v>634</v>
      </c>
      <c r="D164" s="219"/>
      <c r="E164" s="220"/>
      <c r="F164" s="220"/>
      <c r="G164" s="203"/>
      <c r="H164" s="221"/>
      <c r="I164" s="221"/>
      <c r="J164" s="336"/>
      <c r="K164" s="370" t="s">
        <v>1001</v>
      </c>
    </row>
    <row r="165" spans="1:11" s="281" customFormat="1">
      <c r="A165" s="279"/>
      <c r="B165" s="288" t="s">
        <v>686</v>
      </c>
      <c r="C165" s="291"/>
      <c r="D165" s="219"/>
      <c r="E165" s="220"/>
      <c r="F165" s="220"/>
      <c r="G165" s="203"/>
      <c r="H165" s="221"/>
      <c r="I165" s="221"/>
      <c r="J165" s="336"/>
      <c r="K165" s="336"/>
    </row>
    <row r="166" spans="1:11" s="281" customFormat="1">
      <c r="A166" s="279">
        <v>3.59</v>
      </c>
      <c r="B166" s="295" t="s">
        <v>687</v>
      </c>
      <c r="C166" s="291" t="s">
        <v>96</v>
      </c>
      <c r="D166" s="219"/>
      <c r="E166" s="220"/>
      <c r="F166" s="220"/>
      <c r="G166" s="203"/>
      <c r="H166" s="221"/>
      <c r="I166" s="221"/>
      <c r="J166" s="336"/>
      <c r="K166" s="422" t="s">
        <v>961</v>
      </c>
    </row>
    <row r="167" spans="1:11" s="281" customFormat="1">
      <c r="A167" s="279">
        <v>3.6</v>
      </c>
      <c r="B167" s="294" t="s">
        <v>688</v>
      </c>
      <c r="C167" s="292" t="s">
        <v>96</v>
      </c>
      <c r="D167" s="219"/>
      <c r="E167" s="220"/>
      <c r="F167" s="220"/>
      <c r="G167" s="203"/>
      <c r="H167" s="221"/>
      <c r="I167" s="221"/>
      <c r="J167" s="336"/>
      <c r="K167" s="422" t="s">
        <v>961</v>
      </c>
    </row>
    <row r="168" spans="1:11" s="281" customFormat="1">
      <c r="A168" s="279">
        <v>3.61</v>
      </c>
      <c r="B168" s="294" t="s">
        <v>689</v>
      </c>
      <c r="C168" s="292" t="s">
        <v>96</v>
      </c>
      <c r="D168" s="219"/>
      <c r="E168" s="220"/>
      <c r="F168" s="220"/>
      <c r="G168" s="203"/>
      <c r="H168" s="221"/>
      <c r="I168" s="221"/>
      <c r="J168" s="336"/>
      <c r="K168" s="422" t="s">
        <v>961</v>
      </c>
    </row>
    <row r="169" spans="1:11" s="281" customFormat="1">
      <c r="A169" s="279">
        <v>3.62</v>
      </c>
      <c r="B169" s="296" t="s">
        <v>690</v>
      </c>
      <c r="C169" s="292" t="s">
        <v>19</v>
      </c>
      <c r="D169" s="219"/>
      <c r="E169" s="220"/>
      <c r="F169" s="220"/>
      <c r="G169" s="203"/>
      <c r="H169" s="221"/>
      <c r="I169" s="221"/>
      <c r="J169" s="336"/>
      <c r="K169" s="336"/>
    </row>
    <row r="170" spans="1:11" s="281" customFormat="1">
      <c r="A170" s="279">
        <v>3.63</v>
      </c>
      <c r="B170" s="296" t="s">
        <v>691</v>
      </c>
      <c r="C170" s="292" t="s">
        <v>19</v>
      </c>
      <c r="D170" s="219"/>
      <c r="E170" s="220"/>
      <c r="F170" s="220"/>
      <c r="G170" s="203"/>
      <c r="H170" s="221"/>
      <c r="I170" s="221"/>
      <c r="J170" s="336"/>
      <c r="K170" s="336"/>
    </row>
    <row r="171" spans="1:11">
      <c r="A171" s="325"/>
      <c r="B171" s="395"/>
      <c r="C171" s="326"/>
      <c r="D171" s="326"/>
      <c r="E171" s="326"/>
      <c r="F171" s="326"/>
      <c r="G171" s="326"/>
      <c r="H171" s="326"/>
      <c r="I171" s="326"/>
      <c r="J171" s="327"/>
      <c r="K171" s="327"/>
    </row>
    <row r="172" spans="1:11">
      <c r="A172" s="440" t="s">
        <v>692</v>
      </c>
      <c r="B172" s="431"/>
      <c r="C172" s="431"/>
      <c r="D172" s="431"/>
      <c r="E172" s="431"/>
      <c r="F172" s="74"/>
      <c r="G172" s="74"/>
      <c r="H172" s="74"/>
      <c r="I172" s="74"/>
      <c r="J172" s="328"/>
      <c r="K172" s="328"/>
    </row>
    <row r="173" spans="1:11">
      <c r="A173" s="304">
        <v>4</v>
      </c>
      <c r="B173" s="398" t="s">
        <v>693</v>
      </c>
      <c r="C173" s="213"/>
      <c r="D173" s="213"/>
      <c r="E173" s="213"/>
      <c r="F173" s="213"/>
      <c r="G173" s="213"/>
      <c r="H173" s="213"/>
      <c r="I173" s="213"/>
      <c r="J173" s="331"/>
      <c r="K173" s="331"/>
    </row>
    <row r="174" spans="1:11">
      <c r="A174" s="314"/>
      <c r="B174" s="388"/>
      <c r="C174" s="45" t="s">
        <v>4</v>
      </c>
      <c r="D174" s="45" t="str">
        <f>'General Info'!D4</f>
        <v>FY 2008-2009</v>
      </c>
      <c r="E174" s="45" t="str">
        <f>'General Info'!E4</f>
        <v>FY 2009-2010</v>
      </c>
      <c r="F174" s="45" t="str">
        <f>'General Info'!F4</f>
        <v>FY 2010-2011</v>
      </c>
      <c r="G174" s="45" t="str">
        <f>'General Info'!G4</f>
        <v>FY 2011-2012</v>
      </c>
      <c r="H174" s="45" t="str">
        <f>'General Info'!H4</f>
        <v>FY 2012-2013</v>
      </c>
      <c r="I174" s="45" t="str">
        <f>'General Info'!I4</f>
        <v>FY 2013-2014</v>
      </c>
      <c r="J174" s="315" t="str">
        <f>'General Info'!J4</f>
        <v>FY 2014-2015</v>
      </c>
      <c r="K174" s="315" t="str">
        <f>'General Info'!K4</f>
        <v>FY 2015-2016</v>
      </c>
    </row>
    <row r="175" spans="1:11">
      <c r="A175" s="324">
        <v>4.0999999999999996</v>
      </c>
      <c r="B175" s="152" t="s">
        <v>694</v>
      </c>
      <c r="C175" s="198" t="s">
        <v>19</v>
      </c>
      <c r="D175" s="151"/>
      <c r="E175" s="151"/>
      <c r="F175" s="151"/>
      <c r="G175" s="151"/>
      <c r="H175" s="151"/>
      <c r="I175" s="421">
        <v>45</v>
      </c>
      <c r="J175" s="421">
        <v>51</v>
      </c>
      <c r="K175" s="421">
        <v>51</v>
      </c>
    </row>
    <row r="176" spans="1:11">
      <c r="A176" s="335"/>
      <c r="B176" s="389" t="s">
        <v>695</v>
      </c>
      <c r="C176" s="222"/>
      <c r="D176" s="222"/>
      <c r="E176" s="222"/>
      <c r="F176" s="222"/>
      <c r="G176" s="222"/>
      <c r="H176" s="222"/>
      <c r="I176" s="222"/>
      <c r="J176" s="337"/>
      <c r="K176" s="337"/>
    </row>
    <row r="177" spans="1:11">
      <c r="A177" s="324">
        <v>4.2</v>
      </c>
      <c r="B177" s="402" t="s">
        <v>696</v>
      </c>
      <c r="C177" s="198" t="s">
        <v>19</v>
      </c>
      <c r="D177" s="151"/>
      <c r="E177" s="151"/>
      <c r="F177" s="151"/>
      <c r="G177" s="151"/>
      <c r="H177" s="151"/>
      <c r="I177" s="421">
        <v>0</v>
      </c>
      <c r="J177" s="421">
        <v>31</v>
      </c>
      <c r="K177" s="421">
        <v>6</v>
      </c>
    </row>
    <row r="178" spans="1:11">
      <c r="A178" s="324">
        <v>4.3</v>
      </c>
      <c r="B178" s="402" t="s">
        <v>697</v>
      </c>
      <c r="C178" s="198" t="s">
        <v>19</v>
      </c>
      <c r="D178" s="151"/>
      <c r="E178" s="151"/>
      <c r="F178" s="151"/>
      <c r="G178" s="151"/>
      <c r="H178" s="151"/>
      <c r="I178" s="421">
        <v>18</v>
      </c>
      <c r="J178" s="421">
        <v>20</v>
      </c>
      <c r="K178" s="421">
        <v>15</v>
      </c>
    </row>
    <row r="179" spans="1:11">
      <c r="A179" s="324">
        <v>4.4000000000000004</v>
      </c>
      <c r="B179" s="402" t="s">
        <v>698</v>
      </c>
      <c r="C179" s="198" t="s">
        <v>19</v>
      </c>
      <c r="D179" s="151"/>
      <c r="E179" s="151"/>
      <c r="F179" s="151"/>
      <c r="G179" s="151"/>
      <c r="H179" s="151"/>
      <c r="I179" s="421">
        <v>0</v>
      </c>
      <c r="J179" s="421">
        <v>0</v>
      </c>
      <c r="K179" s="421">
        <v>0</v>
      </c>
    </row>
    <row r="180" spans="1:11">
      <c r="A180" s="324">
        <v>4.5</v>
      </c>
      <c r="B180" s="402" t="s">
        <v>699</v>
      </c>
      <c r="C180" s="198" t="s">
        <v>19</v>
      </c>
      <c r="D180" s="151"/>
      <c r="E180" s="151"/>
      <c r="F180" s="151"/>
      <c r="G180" s="151"/>
      <c r="H180" s="151"/>
      <c r="I180" s="421">
        <v>0</v>
      </c>
      <c r="J180" s="421">
        <v>0</v>
      </c>
      <c r="K180" s="421">
        <v>0</v>
      </c>
    </row>
    <row r="181" spans="1:11" s="281" customFormat="1">
      <c r="A181" s="324">
        <v>4.5999999999999996</v>
      </c>
      <c r="B181" s="152" t="s">
        <v>700</v>
      </c>
      <c r="C181" s="198" t="s">
        <v>19</v>
      </c>
      <c r="D181" s="151"/>
      <c r="E181" s="151"/>
      <c r="F181" s="151"/>
      <c r="G181" s="151"/>
      <c r="H181" s="151"/>
      <c r="I181" s="421">
        <v>520</v>
      </c>
      <c r="J181" s="421">
        <v>312</v>
      </c>
      <c r="K181" s="421">
        <v>312</v>
      </c>
    </row>
    <row r="182" spans="1:11" s="281" customFormat="1">
      <c r="A182" s="324">
        <v>4.7</v>
      </c>
      <c r="B182" s="152" t="s">
        <v>701</v>
      </c>
      <c r="C182" s="198" t="s">
        <v>255</v>
      </c>
      <c r="D182" s="151"/>
      <c r="E182" s="151"/>
      <c r="F182" s="151"/>
      <c r="G182" s="151"/>
      <c r="H182" s="151"/>
      <c r="I182" s="422">
        <v>350</v>
      </c>
      <c r="J182" s="422">
        <v>268</v>
      </c>
      <c r="K182" s="422">
        <v>270</v>
      </c>
    </row>
    <row r="183" spans="1:11" s="281" customFormat="1">
      <c r="A183" s="324">
        <v>4.8</v>
      </c>
      <c r="B183" s="152" t="s">
        <v>702</v>
      </c>
      <c r="C183" s="198" t="s">
        <v>19</v>
      </c>
      <c r="D183" s="151"/>
      <c r="E183" s="151"/>
      <c r="F183" s="151"/>
      <c r="G183" s="151"/>
      <c r="H183" s="151"/>
      <c r="I183" s="421">
        <v>30</v>
      </c>
      <c r="J183" s="421">
        <v>36</v>
      </c>
      <c r="K183" s="421">
        <v>36</v>
      </c>
    </row>
    <row r="184" spans="1:11" s="281" customFormat="1">
      <c r="A184" s="324">
        <v>4.9000000000000004</v>
      </c>
      <c r="B184" s="152" t="s">
        <v>703</v>
      </c>
      <c r="C184" s="198" t="s">
        <v>704</v>
      </c>
      <c r="D184" s="151"/>
      <c r="E184" s="151"/>
      <c r="F184" s="151"/>
      <c r="G184" s="151"/>
      <c r="H184" s="151"/>
      <c r="I184" s="422">
        <v>1</v>
      </c>
      <c r="J184" s="422">
        <v>0.15</v>
      </c>
      <c r="K184" s="422">
        <v>0.15</v>
      </c>
    </row>
    <row r="185" spans="1:11" s="281" customFormat="1">
      <c r="A185" s="323">
        <v>4.0999999999999996</v>
      </c>
      <c r="B185" s="152" t="s">
        <v>705</v>
      </c>
      <c r="C185" s="198" t="s">
        <v>237</v>
      </c>
      <c r="D185" s="151"/>
      <c r="E185" s="151"/>
      <c r="F185" s="151"/>
      <c r="G185" s="151"/>
      <c r="H185" s="151"/>
      <c r="I185" s="421">
        <v>1</v>
      </c>
      <c r="J185" s="421">
        <v>2</v>
      </c>
      <c r="K185" s="421">
        <v>2</v>
      </c>
    </row>
    <row r="186" spans="1:11">
      <c r="A186" s="335"/>
      <c r="B186" s="403" t="s">
        <v>706</v>
      </c>
      <c r="C186" s="222"/>
      <c r="D186" s="222"/>
      <c r="E186" s="222"/>
      <c r="F186" s="222"/>
      <c r="G186" s="222"/>
      <c r="H186" s="222"/>
      <c r="I186" s="222"/>
      <c r="J186" s="337"/>
      <c r="K186" s="337"/>
    </row>
    <row r="187" spans="1:11">
      <c r="A187" s="324">
        <v>4.1100000000000003</v>
      </c>
      <c r="B187" s="402" t="s">
        <v>707</v>
      </c>
      <c r="C187" s="198" t="s">
        <v>227</v>
      </c>
      <c r="D187" s="203"/>
      <c r="E187" s="203"/>
      <c r="F187" s="203"/>
      <c r="G187" s="203"/>
      <c r="H187" s="203"/>
      <c r="I187" s="370" t="s">
        <v>963</v>
      </c>
      <c r="J187" s="370" t="s">
        <v>963</v>
      </c>
      <c r="K187" s="370" t="s">
        <v>963</v>
      </c>
    </row>
    <row r="188" spans="1:11">
      <c r="A188" s="324">
        <v>4.12</v>
      </c>
      <c r="B188" s="402" t="s">
        <v>708</v>
      </c>
      <c r="C188" s="198" t="s">
        <v>227</v>
      </c>
      <c r="D188" s="203"/>
      <c r="E188" s="203"/>
      <c r="F188" s="203"/>
      <c r="G188" s="203"/>
      <c r="H188" s="203"/>
      <c r="I188" s="370" t="s">
        <v>963</v>
      </c>
      <c r="J188" s="370" t="s">
        <v>963</v>
      </c>
      <c r="K188" s="370" t="s">
        <v>963</v>
      </c>
    </row>
    <row r="189" spans="1:11">
      <c r="A189" s="324">
        <v>4.13</v>
      </c>
      <c r="B189" s="402" t="s">
        <v>709</v>
      </c>
      <c r="C189" s="198" t="s">
        <v>227</v>
      </c>
      <c r="D189" s="203"/>
      <c r="E189" s="203"/>
      <c r="F189" s="203"/>
      <c r="G189" s="203"/>
      <c r="H189" s="203"/>
      <c r="I189" s="370" t="s">
        <v>963</v>
      </c>
      <c r="J189" s="370" t="s">
        <v>963</v>
      </c>
      <c r="K189" s="370" t="s">
        <v>963</v>
      </c>
    </row>
    <row r="190" spans="1:11">
      <c r="A190" s="324">
        <v>4.1399999999999997</v>
      </c>
      <c r="B190" s="402" t="s">
        <v>710</v>
      </c>
      <c r="C190" s="198" t="s">
        <v>227</v>
      </c>
      <c r="D190" s="203"/>
      <c r="E190" s="203"/>
      <c r="F190" s="203"/>
      <c r="G190" s="203"/>
      <c r="H190" s="203"/>
      <c r="I190" s="370" t="s">
        <v>963</v>
      </c>
      <c r="J190" s="370" t="s">
        <v>963</v>
      </c>
      <c r="K190" s="370" t="s">
        <v>963</v>
      </c>
    </row>
    <row r="191" spans="1:11">
      <c r="A191" s="312"/>
      <c r="B191" s="390"/>
      <c r="C191" s="201"/>
      <c r="D191" s="201"/>
      <c r="E191" s="202"/>
      <c r="F191" s="202"/>
      <c r="G191" s="202"/>
      <c r="H191" s="202"/>
      <c r="I191" s="202"/>
      <c r="J191" s="313"/>
      <c r="K191" s="313"/>
    </row>
    <row r="192" spans="1:11">
      <c r="A192" s="440" t="s">
        <v>711</v>
      </c>
      <c r="B192" s="431"/>
      <c r="C192" s="431"/>
      <c r="D192" s="431"/>
      <c r="E192" s="431"/>
      <c r="F192" s="74"/>
      <c r="G192" s="74"/>
      <c r="H192" s="74"/>
      <c r="I192" s="74"/>
      <c r="J192" s="328"/>
      <c r="K192" s="328"/>
    </row>
    <row r="193" spans="1:11">
      <c r="A193" s="304">
        <v>5</v>
      </c>
      <c r="B193" s="398" t="s">
        <v>712</v>
      </c>
      <c r="C193" s="213"/>
      <c r="D193" s="213"/>
      <c r="E193" s="213"/>
      <c r="F193" s="213"/>
      <c r="G193" s="213"/>
      <c r="H193" s="213"/>
      <c r="I193" s="213"/>
      <c r="J193" s="331"/>
      <c r="K193" s="331"/>
    </row>
    <row r="194" spans="1:11" s="281" customFormat="1">
      <c r="A194" s="338"/>
      <c r="B194" s="388" t="s">
        <v>713</v>
      </c>
      <c r="C194" s="297" t="s">
        <v>4</v>
      </c>
      <c r="D194" s="298" t="str">
        <f>'General Info'!D4</f>
        <v>FY 2008-2009</v>
      </c>
      <c r="E194" s="298" t="str">
        <f>'General Info'!E4</f>
        <v>FY 2009-2010</v>
      </c>
      <c r="F194" s="298" t="str">
        <f>'General Info'!F4</f>
        <v>FY 2010-2011</v>
      </c>
      <c r="G194" s="298" t="str">
        <f>'General Info'!G4</f>
        <v>FY 2011-2012</v>
      </c>
      <c r="H194" s="298" t="str">
        <f>'General Info'!H4</f>
        <v>FY 2012-2013</v>
      </c>
      <c r="I194" s="298" t="str">
        <f>'General Info'!I4</f>
        <v>FY 2013-2014</v>
      </c>
      <c r="J194" s="339" t="str">
        <f>'General Info'!J4</f>
        <v>FY 2014-2015</v>
      </c>
      <c r="K194" s="339" t="str">
        <f>'General Info'!K4</f>
        <v>FY 2015-2016</v>
      </c>
    </row>
    <row r="195" spans="1:11" s="281" customFormat="1">
      <c r="A195" s="280">
        <v>5.0999999999999996</v>
      </c>
      <c r="B195" s="299" t="s">
        <v>714</v>
      </c>
      <c r="C195" s="282" t="s">
        <v>466</v>
      </c>
      <c r="D195" s="283"/>
      <c r="E195" s="283"/>
      <c r="F195" s="283"/>
      <c r="G195" s="283"/>
      <c r="H195" s="283"/>
      <c r="I195" s="283"/>
      <c r="J195" s="421">
        <v>3946.33</v>
      </c>
      <c r="K195" s="422">
        <v>4514.24</v>
      </c>
    </row>
    <row r="196" spans="1:11" s="281" customFormat="1">
      <c r="A196" s="280">
        <v>5.2</v>
      </c>
      <c r="B196" s="299" t="s">
        <v>715</v>
      </c>
      <c r="C196" s="282" t="s">
        <v>466</v>
      </c>
      <c r="D196" s="283"/>
      <c r="E196" s="283"/>
      <c r="F196" s="283"/>
      <c r="G196" s="283"/>
      <c r="H196" s="283"/>
      <c r="I196" s="283"/>
      <c r="J196" s="421">
        <v>0</v>
      </c>
      <c r="K196" s="422">
        <v>0</v>
      </c>
    </row>
    <row r="197" spans="1:11" s="281" customFormat="1">
      <c r="A197" s="280">
        <v>5.3</v>
      </c>
      <c r="B197" s="299" t="s">
        <v>505</v>
      </c>
      <c r="C197" s="282" t="s">
        <v>466</v>
      </c>
      <c r="D197" s="283"/>
      <c r="E197" s="283"/>
      <c r="F197" s="283"/>
      <c r="G197" s="283"/>
      <c r="H197" s="283"/>
      <c r="I197" s="283"/>
      <c r="J197" s="421">
        <v>0</v>
      </c>
      <c r="K197" s="422">
        <v>0</v>
      </c>
    </row>
    <row r="198" spans="1:11" s="281" customFormat="1">
      <c r="A198" s="280"/>
      <c r="B198" s="396" t="s">
        <v>716</v>
      </c>
      <c r="C198" s="10" t="s">
        <v>466</v>
      </c>
      <c r="D198" s="197">
        <f>IF(OR(D195="nd",D196="nd",D197="nd"),"nd",SUM(D195:D197))</f>
        <v>0</v>
      </c>
      <c r="E198" s="197">
        <f>IF(OR(E195="nd",E196="nd",E197="nd"),"nd",SUM($E$195:$E$197))</f>
        <v>0</v>
      </c>
      <c r="F198" s="197">
        <f>IF(OR(F195="nd",F196="nd",F197="nd"),"nd",SUM($F$195:$F$197))</f>
        <v>0</v>
      </c>
      <c r="G198" s="197">
        <f>IF(OR(G195="nd",G196="nd",G197="nd"),"nd",SUM($G$195:$G$197))</f>
        <v>0</v>
      </c>
      <c r="H198" s="197">
        <f>IF(OR(H195="nd",H196="nd",H197="nd"),"nd",SUM($H$195:$H$197))</f>
        <v>0</v>
      </c>
      <c r="I198" s="197">
        <f>IF(OR(I195="nd",I196="nd",I197="nd"),"nd",SUM($I$195:$I$197))</f>
        <v>0</v>
      </c>
      <c r="J198" s="309">
        <f>IF(OR(J195="nd",J196="nd",J197="nd"),"nd",SUM($J$195:$J$197))</f>
        <v>3946.33</v>
      </c>
      <c r="K198" s="309">
        <f>IF(OR(K195="nd",K196="nd",K197="nd"),"nd",SUM(K195:K197))</f>
        <v>4514.24</v>
      </c>
    </row>
    <row r="199" spans="1:11" s="281" customFormat="1">
      <c r="A199" s="338"/>
      <c r="B199" s="388" t="s">
        <v>717</v>
      </c>
      <c r="C199" s="297" t="s">
        <v>4</v>
      </c>
      <c r="D199" s="297" t="str">
        <f>'General Info'!D4</f>
        <v>FY 2008-2009</v>
      </c>
      <c r="E199" s="297" t="str">
        <f>'General Info'!E4</f>
        <v>FY 2009-2010</v>
      </c>
      <c r="F199" s="297" t="str">
        <f>'General Info'!F4</f>
        <v>FY 2010-2011</v>
      </c>
      <c r="G199" s="297" t="str">
        <f>'General Info'!G4</f>
        <v>FY 2011-2012</v>
      </c>
      <c r="H199" s="297" t="str">
        <f>'General Info'!H4</f>
        <v>FY 2012-2013</v>
      </c>
      <c r="I199" s="297" t="str">
        <f>'General Info'!I4</f>
        <v>FY 2013-2014</v>
      </c>
      <c r="J199" s="340" t="str">
        <f>'General Info'!J4</f>
        <v>FY 2014-2015</v>
      </c>
      <c r="K199" s="340" t="str">
        <f>'General Info'!K4</f>
        <v>FY 2015-2016</v>
      </c>
    </row>
    <row r="200" spans="1:11">
      <c r="A200" s="280">
        <v>5.4</v>
      </c>
      <c r="B200" s="404" t="s">
        <v>570</v>
      </c>
      <c r="C200" s="10" t="s">
        <v>466</v>
      </c>
      <c r="D200" s="151"/>
      <c r="E200" s="151"/>
      <c r="F200" s="151"/>
      <c r="G200" s="151"/>
      <c r="H200" s="151"/>
      <c r="I200" s="421">
        <v>464</v>
      </c>
      <c r="J200" s="421">
        <v>109.3</v>
      </c>
      <c r="K200" s="422">
        <v>125.5</v>
      </c>
    </row>
    <row r="201" spans="1:11">
      <c r="A201" s="280">
        <v>5.5</v>
      </c>
      <c r="B201" s="404" t="s">
        <v>718</v>
      </c>
      <c r="C201" s="10" t="s">
        <v>466</v>
      </c>
      <c r="D201" s="151"/>
      <c r="E201" s="151"/>
      <c r="F201" s="151"/>
      <c r="G201" s="151"/>
      <c r="H201" s="151"/>
      <c r="I201" s="151"/>
      <c r="J201" s="421">
        <v>116.71</v>
      </c>
      <c r="K201" s="422">
        <v>710.38</v>
      </c>
    </row>
    <row r="202" spans="1:11">
      <c r="A202" s="280">
        <v>5.6</v>
      </c>
      <c r="B202" s="404" t="s">
        <v>719</v>
      </c>
      <c r="C202" s="10" t="s">
        <v>466</v>
      </c>
      <c r="D202" s="151"/>
      <c r="E202" s="151"/>
      <c r="F202" s="151"/>
      <c r="G202" s="151"/>
      <c r="H202" s="151"/>
      <c r="I202" s="151"/>
      <c r="J202" s="421">
        <v>57.68</v>
      </c>
      <c r="K202" s="422">
        <v>80</v>
      </c>
    </row>
    <row r="203" spans="1:11">
      <c r="A203" s="284">
        <v>5.7</v>
      </c>
      <c r="B203" s="404" t="s">
        <v>505</v>
      </c>
      <c r="C203" s="10" t="s">
        <v>466</v>
      </c>
      <c r="D203" s="151"/>
      <c r="E203" s="151"/>
      <c r="F203" s="151"/>
      <c r="G203" s="151"/>
      <c r="H203" s="151"/>
      <c r="I203" s="151"/>
      <c r="J203" s="421">
        <v>3273.67</v>
      </c>
      <c r="K203" s="422">
        <v>2807.16</v>
      </c>
    </row>
    <row r="204" spans="1:11">
      <c r="A204" s="341"/>
      <c r="B204" s="396" t="s">
        <v>716</v>
      </c>
      <c r="C204" s="10" t="s">
        <v>466</v>
      </c>
      <c r="D204" s="197">
        <f>IF(OR(D200="nd",D201="nd",D202="nd",D203="nd"),"nd",SUM(D200:D203))</f>
        <v>0</v>
      </c>
      <c r="E204" s="197">
        <f>IF(OR(E200="nd",E201="nd",E202="nd",E203="nd"),"nd",SUM($E$200:$E$203))</f>
        <v>0</v>
      </c>
      <c r="F204" s="197">
        <f>IF(OR(F200="nd",F201="nd",F202="nd",F203="nd"),"nd",SUM($F$200:$F$203))</f>
        <v>0</v>
      </c>
      <c r="G204" s="197">
        <f>IF(OR(G200="nd",G201="nd",G202="nd",G203="nd"),"nd",SUM($G$200:$G$203))</f>
        <v>0</v>
      </c>
      <c r="H204" s="197">
        <f>IF(OR(H200="nd",H201="nd",H202="nd",H203="nd"),"nd",SUM($H$200:$H$203))</f>
        <v>0</v>
      </c>
      <c r="I204" s="197">
        <f>IF(OR(I200="nd",I201="nd",I202="nd",I203="nd"),"nd",SUM($I$200:$I$203))</f>
        <v>464</v>
      </c>
      <c r="J204" s="309">
        <f>IF(OR(J200="nd",J201="nd",J202="nd",J203="nd"),"nd",SUM($J$200:$J$203))</f>
        <v>3557.36</v>
      </c>
      <c r="K204" s="309">
        <f>IF(OR(K200="nd",K201="nd",K202="nd",K203="nd"),"nd",SUM(K200:K203))</f>
        <v>3723.04</v>
      </c>
    </row>
    <row r="205" spans="1:11" s="281" customFormat="1">
      <c r="A205" s="338"/>
      <c r="B205" s="388" t="s">
        <v>720</v>
      </c>
      <c r="C205" s="300" t="s">
        <v>4</v>
      </c>
      <c r="D205" s="300" t="str">
        <f>'General Info'!D4</f>
        <v>FY 2008-2009</v>
      </c>
      <c r="E205" s="300" t="str">
        <f>'General Info'!E4</f>
        <v>FY 2009-2010</v>
      </c>
      <c r="F205" s="300" t="str">
        <f>'General Info'!F4</f>
        <v>FY 2010-2011</v>
      </c>
      <c r="G205" s="300" t="str">
        <f>'General Info'!G4</f>
        <v>FY 2011-2012</v>
      </c>
      <c r="H205" s="300" t="str">
        <f>'General Info'!H4</f>
        <v>FY 2012-2013</v>
      </c>
      <c r="I205" s="300" t="str">
        <f>'General Info'!I4</f>
        <v>FY 2013-2014</v>
      </c>
      <c r="J205" s="342" t="str">
        <f>'General Info'!J4</f>
        <v>FY 2014-2015</v>
      </c>
      <c r="K205" s="342" t="str">
        <f>'General Info'!K4</f>
        <v>FY 2015-2016</v>
      </c>
    </row>
    <row r="206" spans="1:11" s="281" customFormat="1">
      <c r="A206" s="324">
        <v>5.8</v>
      </c>
      <c r="B206" s="299" t="s">
        <v>721</v>
      </c>
      <c r="C206" s="278" t="s">
        <v>466</v>
      </c>
      <c r="D206" s="151"/>
      <c r="E206" s="151"/>
      <c r="F206" s="151"/>
      <c r="G206" s="151"/>
      <c r="H206" s="151"/>
      <c r="I206" s="151"/>
      <c r="J206" s="421">
        <v>249.9</v>
      </c>
      <c r="K206" s="422">
        <v>348</v>
      </c>
    </row>
    <row r="207" spans="1:11" s="281" customFormat="1">
      <c r="A207" s="324">
        <v>5.9</v>
      </c>
      <c r="B207" s="299" t="s">
        <v>722</v>
      </c>
      <c r="C207" s="278" t="s">
        <v>466</v>
      </c>
      <c r="D207" s="151"/>
      <c r="E207" s="151"/>
      <c r="F207" s="151"/>
      <c r="G207" s="151"/>
      <c r="H207" s="151"/>
      <c r="I207" s="151"/>
      <c r="J207" s="421">
        <v>366.36</v>
      </c>
      <c r="K207" s="422">
        <v>863</v>
      </c>
    </row>
    <row r="208" spans="1:11" s="281" customFormat="1">
      <c r="A208" s="323">
        <v>5.0999999999999996</v>
      </c>
      <c r="B208" s="299" t="s">
        <v>723</v>
      </c>
      <c r="C208" s="278" t="s">
        <v>466</v>
      </c>
      <c r="D208" s="151"/>
      <c r="E208" s="151"/>
      <c r="F208" s="151"/>
      <c r="G208" s="151"/>
      <c r="H208" s="151"/>
      <c r="I208" s="151"/>
      <c r="J208" s="421">
        <v>316.37</v>
      </c>
      <c r="K208" s="422">
        <v>936.65</v>
      </c>
    </row>
    <row r="209" spans="1:11" s="281" customFormat="1">
      <c r="A209" s="324"/>
      <c r="B209" s="396" t="s">
        <v>716</v>
      </c>
      <c r="C209" s="10" t="s">
        <v>466</v>
      </c>
      <c r="D209" s="197">
        <f>IF(OR(D206="nd",D207="nd",D208="nd"),"nd",SUM(D206:D208))</f>
        <v>0</v>
      </c>
      <c r="E209" s="197">
        <f>IF(OR(E206="nd",E207="nd",E208="nd"),"nd",SUM($E$206:$E$208))</f>
        <v>0</v>
      </c>
      <c r="F209" s="197">
        <f>IF(OR(F206="nd",F207="nd",F208="nd"),"nd",SUM($F$206:$F$208))</f>
        <v>0</v>
      </c>
      <c r="G209" s="197">
        <f>IF(OR(G206="nd",G207="nd",G208="nd"),"nd",SUM($G$206:$G$208))</f>
        <v>0</v>
      </c>
      <c r="H209" s="197">
        <f>IF(OR(H206="nd",H207="nd",H208="nd"),"nd",SUM($H$206:$H$208))</f>
        <v>0</v>
      </c>
      <c r="I209" s="197">
        <f>IF(OR(I206="nd",I207="nd",I208="nd"),"nd",SUM($I$206:$I$208))</f>
        <v>0</v>
      </c>
      <c r="J209" s="309">
        <f>IF(OR(J206="nd",J207="nd",J208="nd"),"nd",SUM($J$206:$J$208))</f>
        <v>932.63</v>
      </c>
      <c r="K209" s="309">
        <f>IF(OR(K206="nd",K207="nd",K208="nd"),"nd",SUM(K206:K208))</f>
        <v>2147.65</v>
      </c>
    </row>
    <row r="210" spans="1:11" s="281" customFormat="1">
      <c r="A210" s="338"/>
      <c r="B210" s="388" t="s">
        <v>724</v>
      </c>
      <c r="C210" s="297" t="s">
        <v>4</v>
      </c>
      <c r="D210" s="297" t="str">
        <f>'General Info'!D4</f>
        <v>FY 2008-2009</v>
      </c>
      <c r="E210" s="297" t="str">
        <f>'General Info'!E4</f>
        <v>FY 2009-2010</v>
      </c>
      <c r="F210" s="297" t="str">
        <f>'General Info'!F4</f>
        <v>FY 2010-2011</v>
      </c>
      <c r="G210" s="297" t="str">
        <f>'General Info'!G4</f>
        <v>FY 2011-2012</v>
      </c>
      <c r="H210" s="297" t="str">
        <f>'General Info'!H4</f>
        <v>FY 2012-2013</v>
      </c>
      <c r="I210" s="297" t="str">
        <f>'General Info'!I4</f>
        <v>FY 2013-2014</v>
      </c>
      <c r="J210" s="340" t="str">
        <f>'General Info'!J4</f>
        <v>FY 2014-2015</v>
      </c>
      <c r="K210" s="340" t="str">
        <f>'General Info'!K4</f>
        <v>FY 2015-2016</v>
      </c>
    </row>
    <row r="211" spans="1:11" s="281" customFormat="1">
      <c r="A211" s="324">
        <v>5.1100000000000003</v>
      </c>
      <c r="B211" s="152" t="s">
        <v>725</v>
      </c>
      <c r="C211" s="278" t="s">
        <v>466</v>
      </c>
      <c r="D211" s="151"/>
      <c r="E211" s="151"/>
      <c r="F211" s="151"/>
      <c r="G211" s="151"/>
      <c r="H211" s="151"/>
      <c r="I211" s="151"/>
      <c r="J211" s="422">
        <v>1485.56</v>
      </c>
      <c r="K211" s="422">
        <v>669.26</v>
      </c>
    </row>
    <row r="212" spans="1:11" s="281" customFormat="1">
      <c r="A212" s="324">
        <v>5.12</v>
      </c>
      <c r="B212" s="152" t="s">
        <v>726</v>
      </c>
      <c r="C212" s="278" t="s">
        <v>466</v>
      </c>
      <c r="D212" s="151"/>
      <c r="E212" s="151"/>
      <c r="F212" s="151"/>
      <c r="G212" s="151"/>
      <c r="H212" s="151"/>
      <c r="I212" s="151"/>
      <c r="J212" s="422">
        <v>592.87</v>
      </c>
      <c r="K212" s="422">
        <v>1512.2</v>
      </c>
    </row>
    <row r="213" spans="1:11" s="281" customFormat="1">
      <c r="A213" s="324">
        <v>5.13</v>
      </c>
      <c r="B213" s="152" t="s">
        <v>727</v>
      </c>
      <c r="C213" s="278" t="s">
        <v>466</v>
      </c>
      <c r="D213" s="151"/>
      <c r="E213" s="151"/>
      <c r="F213" s="151"/>
      <c r="G213" s="151"/>
      <c r="H213" s="151"/>
      <c r="I213" s="151"/>
      <c r="J213" s="422">
        <v>0</v>
      </c>
      <c r="K213" s="422">
        <v>0</v>
      </c>
    </row>
    <row r="214" spans="1:11" s="281" customFormat="1">
      <c r="A214" s="324">
        <v>5.14</v>
      </c>
      <c r="B214" s="152" t="s">
        <v>505</v>
      </c>
      <c r="C214" s="278" t="s">
        <v>466</v>
      </c>
      <c r="D214" s="151"/>
      <c r="E214" s="151"/>
      <c r="F214" s="151"/>
      <c r="G214" s="151"/>
      <c r="H214" s="151"/>
      <c r="I214" s="151"/>
      <c r="J214" s="422">
        <v>0</v>
      </c>
      <c r="K214" s="422">
        <v>227.7</v>
      </c>
    </row>
    <row r="215" spans="1:11" s="281" customFormat="1">
      <c r="A215" s="324"/>
      <c r="B215" s="396" t="s">
        <v>716</v>
      </c>
      <c r="C215" s="10" t="s">
        <v>466</v>
      </c>
      <c r="D215" s="197">
        <f>IF(OR(D211="nd",D212="nd",D213="nd",D214="nd"),"nd",SUM($D$211:$D$214))</f>
        <v>0</v>
      </c>
      <c r="E215" s="197">
        <f>IF(OR(E211="nd",E212="nd",E213="nd",E214="nd"),"nd",SUM($E$211:$E$214))</f>
        <v>0</v>
      </c>
      <c r="F215" s="197">
        <f>IF(OR(F211="nd",F212="nd",F213="nd",F214="nd"),"nd",SUM($F$211:$F$214))</f>
        <v>0</v>
      </c>
      <c r="G215" s="197">
        <f>IF(OR(G211="nd",G212="nd",G213="nd",G214="nd"),"nd",SUM($G$211:$G$214))</f>
        <v>0</v>
      </c>
      <c r="H215" s="197">
        <f>IF(OR(H211="nd",H212="nd",H213="nd",H214="nd"),"nd",SUM($H$211:$H$214))</f>
        <v>0</v>
      </c>
      <c r="I215" s="197">
        <f>IF(OR(I211="nd",I212="nd",I213="nd",I214="nd"),"nd",SUM($I$211:$I$214))</f>
        <v>0</v>
      </c>
      <c r="J215" s="309">
        <f>IF(OR(J211="nd",J212="nd",J213="nd",J214="nd"),"nd",SUM($J$211:$J$214))</f>
        <v>2078.4299999999998</v>
      </c>
      <c r="K215" s="309">
        <f>IF(OR(K211="nd",K212="nd",K213="nd",K214="nd"),"nd",SUM(K211:K214))</f>
        <v>2409.16</v>
      </c>
    </row>
    <row r="216" spans="1:11" s="281" customFormat="1">
      <c r="A216" s="324">
        <v>5.15</v>
      </c>
      <c r="B216" s="285" t="s">
        <v>728</v>
      </c>
      <c r="C216" s="10" t="s">
        <v>466</v>
      </c>
      <c r="D216" s="151"/>
      <c r="E216" s="151"/>
      <c r="F216" s="151"/>
      <c r="G216" s="151"/>
      <c r="H216" s="151"/>
      <c r="I216" s="151"/>
      <c r="J216" s="422">
        <v>0</v>
      </c>
      <c r="K216" s="422">
        <v>0</v>
      </c>
    </row>
    <row r="217" spans="1:11" s="281" customFormat="1">
      <c r="A217" s="324">
        <v>5.16</v>
      </c>
      <c r="B217" s="285" t="s">
        <v>729</v>
      </c>
      <c r="C217" s="10" t="s">
        <v>466</v>
      </c>
      <c r="D217" s="151"/>
      <c r="E217" s="151"/>
      <c r="F217" s="151"/>
      <c r="G217" s="151"/>
      <c r="H217" s="151"/>
      <c r="I217" s="151"/>
      <c r="J217" s="422">
        <v>0</v>
      </c>
      <c r="K217" s="422">
        <v>0</v>
      </c>
    </row>
    <row r="218" spans="1:11" s="281" customFormat="1">
      <c r="A218" s="338"/>
      <c r="B218" s="388" t="s">
        <v>730</v>
      </c>
      <c r="C218" s="297" t="s">
        <v>4</v>
      </c>
      <c r="D218" s="297" t="s">
        <v>5</v>
      </c>
      <c r="E218" s="297" t="s">
        <v>6</v>
      </c>
      <c r="F218" s="297" t="s">
        <v>7</v>
      </c>
      <c r="G218" s="297" t="s">
        <v>8</v>
      </c>
      <c r="H218" s="297" t="s">
        <v>9</v>
      </c>
      <c r="I218" s="297" t="s">
        <v>10</v>
      </c>
      <c r="J218" s="340" t="s">
        <v>11</v>
      </c>
      <c r="K218" s="340" t="s">
        <v>11</v>
      </c>
    </row>
    <row r="219" spans="1:11" s="281" customFormat="1">
      <c r="A219" s="323">
        <v>5.17</v>
      </c>
      <c r="B219" s="285" t="s">
        <v>170</v>
      </c>
      <c r="C219" s="10" t="s">
        <v>466</v>
      </c>
      <c r="D219" s="151"/>
      <c r="E219" s="151"/>
      <c r="F219" s="151"/>
      <c r="G219" s="151"/>
      <c r="H219" s="151"/>
      <c r="I219" s="422">
        <v>80</v>
      </c>
      <c r="J219" s="422">
        <v>85</v>
      </c>
      <c r="K219" s="422">
        <v>88.64</v>
      </c>
    </row>
    <row r="220" spans="1:11" s="281" customFormat="1">
      <c r="A220" s="324">
        <v>5.18</v>
      </c>
      <c r="B220" s="285" t="s">
        <v>731</v>
      </c>
      <c r="C220" s="10" t="s">
        <v>466</v>
      </c>
      <c r="D220" s="151"/>
      <c r="E220" s="151"/>
      <c r="F220" s="151"/>
      <c r="G220" s="151"/>
      <c r="H220" s="151"/>
      <c r="I220" s="422">
        <v>132</v>
      </c>
      <c r="J220" s="422">
        <v>149.44999999999999</v>
      </c>
      <c r="K220" s="422">
        <v>158</v>
      </c>
    </row>
    <row r="221" spans="1:11" s="281" customFormat="1">
      <c r="A221" s="323">
        <v>5.19</v>
      </c>
      <c r="B221" s="285" t="s">
        <v>328</v>
      </c>
      <c r="C221" s="10" t="s">
        <v>466</v>
      </c>
      <c r="D221" s="151"/>
      <c r="E221" s="151"/>
      <c r="F221" s="151"/>
      <c r="G221" s="151"/>
      <c r="H221" s="151"/>
      <c r="I221" s="422">
        <v>50</v>
      </c>
      <c r="J221" s="422">
        <v>52</v>
      </c>
      <c r="K221" s="422">
        <v>88.64</v>
      </c>
    </row>
    <row r="222" spans="1:11" s="281" customFormat="1">
      <c r="A222" s="323">
        <v>5.2</v>
      </c>
      <c r="B222" s="285" t="s">
        <v>732</v>
      </c>
      <c r="C222" s="10" t="s">
        <v>466</v>
      </c>
      <c r="D222" s="151"/>
      <c r="E222" s="151"/>
      <c r="F222" s="151"/>
      <c r="G222" s="151"/>
      <c r="H222" s="151"/>
      <c r="I222" s="422">
        <v>72</v>
      </c>
      <c r="J222" s="422">
        <v>76.400000000000006</v>
      </c>
      <c r="K222" s="422">
        <v>134.37</v>
      </c>
    </row>
    <row r="223" spans="1:11" s="281" customFormat="1">
      <c r="A223" s="338"/>
      <c r="B223" s="388" t="s">
        <v>733</v>
      </c>
      <c r="C223" s="297" t="s">
        <v>4</v>
      </c>
      <c r="D223" s="297" t="str">
        <f>'General Info'!D4</f>
        <v>FY 2008-2009</v>
      </c>
      <c r="E223" s="297" t="str">
        <f>'General Info'!E4</f>
        <v>FY 2009-2010</v>
      </c>
      <c r="F223" s="297" t="str">
        <f>'General Info'!F4</f>
        <v>FY 2010-2011</v>
      </c>
      <c r="G223" s="297" t="str">
        <f>'General Info'!G4</f>
        <v>FY 2011-2012</v>
      </c>
      <c r="H223" s="297" t="str">
        <f>'General Info'!H4</f>
        <v>FY 2012-2013</v>
      </c>
      <c r="I223" s="297" t="str">
        <f>'General Info'!I4</f>
        <v>FY 2013-2014</v>
      </c>
      <c r="J223" s="340" t="str">
        <f>'General Info'!J4</f>
        <v>FY 2014-2015</v>
      </c>
      <c r="K223" s="340" t="str">
        <f>'General Info'!K4</f>
        <v>FY 2015-2016</v>
      </c>
    </row>
    <row r="224" spans="1:11" s="281" customFormat="1" ht="25.5">
      <c r="A224" s="323">
        <v>5.21</v>
      </c>
      <c r="B224" s="152" t="s">
        <v>734</v>
      </c>
      <c r="C224" s="10" t="s">
        <v>466</v>
      </c>
      <c r="D224" s="151"/>
      <c r="E224" s="151"/>
      <c r="F224" s="151"/>
      <c r="G224" s="151"/>
      <c r="H224" s="151"/>
      <c r="I224" s="422">
        <v>90</v>
      </c>
      <c r="J224" s="422">
        <v>195.09</v>
      </c>
      <c r="K224" s="422">
        <v>540.48</v>
      </c>
    </row>
    <row r="225" spans="1:11" s="281" customFormat="1">
      <c r="A225" s="323">
        <v>5.22</v>
      </c>
      <c r="B225" s="152" t="s">
        <v>735</v>
      </c>
      <c r="C225" s="10" t="s">
        <v>466</v>
      </c>
      <c r="D225" s="151"/>
      <c r="E225" s="151"/>
      <c r="F225" s="151"/>
      <c r="G225" s="151"/>
      <c r="H225" s="151"/>
      <c r="I225" s="422">
        <v>30</v>
      </c>
      <c r="J225" s="422">
        <v>0</v>
      </c>
      <c r="K225" s="422">
        <v>63.89</v>
      </c>
    </row>
    <row r="226" spans="1:11" s="281" customFormat="1">
      <c r="A226" s="324">
        <v>5.23</v>
      </c>
      <c r="B226" s="152" t="s">
        <v>736</v>
      </c>
      <c r="C226" s="10" t="s">
        <v>466</v>
      </c>
      <c r="D226" s="151"/>
      <c r="E226" s="151"/>
      <c r="F226" s="151"/>
      <c r="G226" s="151"/>
      <c r="H226" s="151"/>
      <c r="I226" s="151"/>
      <c r="J226" s="422">
        <v>0</v>
      </c>
      <c r="K226" s="422">
        <v>0</v>
      </c>
    </row>
    <row r="227" spans="1:11" s="281" customFormat="1">
      <c r="A227" s="324">
        <v>5.24</v>
      </c>
      <c r="B227" s="152" t="s">
        <v>505</v>
      </c>
      <c r="C227" s="10" t="s">
        <v>466</v>
      </c>
      <c r="D227" s="151"/>
      <c r="E227" s="151"/>
      <c r="F227" s="151"/>
      <c r="G227" s="151"/>
      <c r="H227" s="151"/>
      <c r="I227" s="151"/>
      <c r="J227" s="422">
        <v>0</v>
      </c>
      <c r="K227" s="422">
        <v>0</v>
      </c>
    </row>
    <row r="228" spans="1:11">
      <c r="A228" s="324"/>
      <c r="B228" s="396" t="s">
        <v>716</v>
      </c>
      <c r="C228" s="10" t="s">
        <v>466</v>
      </c>
      <c r="D228" s="197">
        <f>IF(OR(D224="nd",D225="nd",D226="nd",D227="nd"),"nd",SUM($D$224:$D$227))</f>
        <v>0</v>
      </c>
      <c r="E228" s="197">
        <f>IF(OR(E224="nd",E225="nd",E226="nd",E227="nd"),"nd",SUM($E$224:$E$227))</f>
        <v>0</v>
      </c>
      <c r="F228" s="197">
        <f>IF(OR(F224="nd",F225="nd",F226="nd",F227="nd"),"nd",SUM($F$224:$F$227))</f>
        <v>0</v>
      </c>
      <c r="G228" s="197">
        <f>IF(OR(G224="nd",G225="nd",G226="nd",G227="nd"),"nd",SUM($G$224:$G$227))</f>
        <v>0</v>
      </c>
      <c r="H228" s="197">
        <f>IF(OR(H224="nd",H225="nd",H226="nd",H227="nd"),"nd",SUM($H$224:$H$227))</f>
        <v>0</v>
      </c>
      <c r="I228" s="197">
        <f>IF(OR(I224="nd",I225="nd",I226="nd",I227="nd"),"nd",SUM($I$224:$I$227))</f>
        <v>120</v>
      </c>
      <c r="J228" s="309">
        <f>IF(OR(J224="nd",J225="nd",J226="nd",J227="nd"),"nd",SUM($J$224:$J$227))</f>
        <v>195.09</v>
      </c>
      <c r="K228" s="309">
        <f>IF(OR(K224="nd",K225="nd",K226="nd",K227="nd"),"nd",SUM(K224:K227))</f>
        <v>604.37</v>
      </c>
    </row>
    <row r="229" spans="1:11">
      <c r="A229" s="314"/>
      <c r="B229" s="388" t="s">
        <v>737</v>
      </c>
      <c r="C229" s="45" t="s">
        <v>4</v>
      </c>
      <c r="D229" s="45" t="str">
        <f>'General Info'!D4</f>
        <v>FY 2008-2009</v>
      </c>
      <c r="E229" s="45" t="str">
        <f>'General Info'!E4</f>
        <v>FY 2009-2010</v>
      </c>
      <c r="F229" s="45" t="str">
        <f>'General Info'!F4</f>
        <v>FY 2010-2011</v>
      </c>
      <c r="G229" s="45" t="str">
        <f>'General Info'!G4</f>
        <v>FY 2011-2012</v>
      </c>
      <c r="H229" s="45" t="str">
        <f>'General Info'!H4</f>
        <v>FY 2012-2013</v>
      </c>
      <c r="I229" s="45" t="str">
        <f>'General Info'!I4</f>
        <v>FY 2013-2014</v>
      </c>
      <c r="J229" s="315" t="str">
        <f>'General Info'!J4</f>
        <v>FY 2014-2015</v>
      </c>
      <c r="K229" s="315" t="str">
        <f>'General Info'!K4</f>
        <v>FY 2015-2016</v>
      </c>
    </row>
    <row r="230" spans="1:11" ht="25.5">
      <c r="A230" s="343"/>
      <c r="B230" s="405" t="s">
        <v>738</v>
      </c>
      <c r="C230" s="224"/>
      <c r="D230" s="223"/>
      <c r="E230" s="223"/>
      <c r="F230" s="223"/>
      <c r="G230" s="223"/>
      <c r="H230" s="223"/>
      <c r="I230" s="223"/>
      <c r="J230" s="344"/>
      <c r="K230" s="344"/>
    </row>
    <row r="231" spans="1:11">
      <c r="A231" s="324">
        <v>5.25</v>
      </c>
      <c r="B231" s="402" t="s">
        <v>739</v>
      </c>
      <c r="C231" s="198" t="s">
        <v>227</v>
      </c>
      <c r="D231" s="203"/>
      <c r="E231" s="203"/>
      <c r="F231" s="203"/>
      <c r="G231" s="203"/>
      <c r="H231" s="203"/>
      <c r="I231" s="370" t="s">
        <v>962</v>
      </c>
      <c r="J231" s="370" t="s">
        <v>962</v>
      </c>
      <c r="K231" s="370" t="s">
        <v>962</v>
      </c>
    </row>
    <row r="232" spans="1:11">
      <c r="A232" s="324">
        <v>5.26</v>
      </c>
      <c r="B232" s="402" t="s">
        <v>740</v>
      </c>
      <c r="C232" s="198" t="s">
        <v>227</v>
      </c>
      <c r="D232" s="203"/>
      <c r="E232" s="203"/>
      <c r="F232" s="203"/>
      <c r="G232" s="203"/>
      <c r="H232" s="203"/>
      <c r="I232" s="203"/>
      <c r="J232" s="370" t="s">
        <v>962</v>
      </c>
      <c r="K232" s="370" t="s">
        <v>963</v>
      </c>
    </row>
    <row r="233" spans="1:11">
      <c r="A233" s="324">
        <v>5.27</v>
      </c>
      <c r="B233" s="402" t="s">
        <v>741</v>
      </c>
      <c r="C233" s="198" t="s">
        <v>227</v>
      </c>
      <c r="D233" s="203"/>
      <c r="E233" s="203"/>
      <c r="F233" s="203"/>
      <c r="G233" s="203"/>
      <c r="H233" s="203"/>
      <c r="I233" s="370" t="s">
        <v>962</v>
      </c>
      <c r="J233" s="370" t="s">
        <v>962</v>
      </c>
      <c r="K233" s="370" t="s">
        <v>962</v>
      </c>
    </row>
    <row r="234" spans="1:11">
      <c r="A234" s="324">
        <v>5.28</v>
      </c>
      <c r="B234" s="402" t="s">
        <v>742</v>
      </c>
      <c r="C234" s="198" t="s">
        <v>227</v>
      </c>
      <c r="D234" s="203"/>
      <c r="E234" s="203"/>
      <c r="F234" s="203"/>
      <c r="G234" s="203"/>
      <c r="H234" s="203"/>
      <c r="I234" s="370" t="s">
        <v>962</v>
      </c>
      <c r="J234" s="370" t="s">
        <v>962</v>
      </c>
      <c r="K234" s="370" t="s">
        <v>963</v>
      </c>
    </row>
    <row r="235" spans="1:11">
      <c r="A235" s="324">
        <v>5.29</v>
      </c>
      <c r="B235" s="152" t="s">
        <v>743</v>
      </c>
      <c r="C235" s="198" t="s">
        <v>227</v>
      </c>
      <c r="D235" s="203"/>
      <c r="E235" s="203"/>
      <c r="F235" s="203"/>
      <c r="G235" s="203"/>
      <c r="H235" s="203"/>
      <c r="I235" s="370" t="s">
        <v>963</v>
      </c>
      <c r="J235" s="370" t="s">
        <v>962</v>
      </c>
      <c r="K235" s="370" t="s">
        <v>963</v>
      </c>
    </row>
    <row r="236" spans="1:11" ht="25.5">
      <c r="A236" s="323">
        <v>5.3</v>
      </c>
      <c r="B236" s="152" t="s">
        <v>744</v>
      </c>
      <c r="C236" s="198" t="s">
        <v>227</v>
      </c>
      <c r="D236" s="203"/>
      <c r="E236" s="203"/>
      <c r="F236" s="203"/>
      <c r="G236" s="203"/>
      <c r="H236" s="203"/>
      <c r="I236" s="370" t="s">
        <v>963</v>
      </c>
      <c r="J236" s="370" t="s">
        <v>963</v>
      </c>
      <c r="K236" s="370" t="s">
        <v>963</v>
      </c>
    </row>
    <row r="237" spans="1:11">
      <c r="A237" s="324">
        <v>5.31</v>
      </c>
      <c r="B237" s="152" t="s">
        <v>745</v>
      </c>
      <c r="C237" s="198" t="s">
        <v>227</v>
      </c>
      <c r="D237" s="203"/>
      <c r="E237" s="203"/>
      <c r="F237" s="203"/>
      <c r="G237" s="203"/>
      <c r="H237" s="203"/>
      <c r="I237" s="370" t="s">
        <v>963</v>
      </c>
      <c r="J237" s="370" t="s">
        <v>963</v>
      </c>
      <c r="K237" s="370" t="s">
        <v>963</v>
      </c>
    </row>
    <row r="238" spans="1:11">
      <c r="A238" s="324">
        <v>5.32</v>
      </c>
      <c r="B238" s="152" t="s">
        <v>746</v>
      </c>
      <c r="C238" s="198" t="s">
        <v>16</v>
      </c>
      <c r="D238" s="151"/>
      <c r="E238" s="151"/>
      <c r="F238" s="151"/>
      <c r="G238" s="151"/>
      <c r="H238" s="151"/>
      <c r="I238" s="151"/>
      <c r="J238" s="310"/>
      <c r="K238" s="421">
        <v>0</v>
      </c>
    </row>
    <row r="239" spans="1:11">
      <c r="A239" s="325"/>
      <c r="B239" s="395"/>
      <c r="C239" s="326"/>
      <c r="D239" s="326"/>
      <c r="E239" s="326"/>
      <c r="F239" s="326"/>
      <c r="G239" s="326"/>
      <c r="H239" s="326"/>
      <c r="I239" s="326"/>
      <c r="J239" s="327"/>
      <c r="K239" s="327"/>
    </row>
    <row r="240" spans="1:11">
      <c r="A240" s="5"/>
      <c r="B240" s="406" t="s">
        <v>38</v>
      </c>
      <c r="C240" s="7"/>
      <c r="D240" s="7"/>
      <c r="E240" s="7"/>
      <c r="F240" s="7"/>
      <c r="G240" s="7"/>
      <c r="H240" s="7"/>
      <c r="I240" s="7"/>
      <c r="J240" s="7"/>
      <c r="K240" s="7"/>
    </row>
    <row r="241" spans="1:11">
      <c r="A241" s="271"/>
      <c r="B241" s="14" t="s">
        <v>38</v>
      </c>
      <c r="C241" s="198"/>
      <c r="D241" s="370" t="s">
        <v>39</v>
      </c>
      <c r="E241" s="370" t="s">
        <v>39</v>
      </c>
      <c r="F241" s="370" t="s">
        <v>39</v>
      </c>
      <c r="G241" s="370" t="s">
        <v>39</v>
      </c>
      <c r="H241" s="370" t="s">
        <v>39</v>
      </c>
      <c r="I241" s="370" t="s">
        <v>39</v>
      </c>
      <c r="J241" s="370" t="s">
        <v>39</v>
      </c>
      <c r="K241" s="370" t="s">
        <v>39</v>
      </c>
    </row>
    <row r="242" spans="1:11">
      <c r="A242" s="325"/>
      <c r="B242" s="395"/>
      <c r="C242" s="326"/>
      <c r="D242" s="326"/>
      <c r="E242" s="326"/>
      <c r="F242" s="326"/>
      <c r="G242" s="326"/>
      <c r="H242" s="326"/>
      <c r="I242" s="326"/>
      <c r="J242" s="327"/>
      <c r="K242" s="327"/>
    </row>
    <row r="243" spans="1:11">
      <c r="A243" s="345" t="s">
        <v>2</v>
      </c>
      <c r="B243" s="407" t="s">
        <v>747</v>
      </c>
      <c r="C243" s="82" t="s">
        <v>4</v>
      </c>
      <c r="D243" s="82" t="str">
        <f>'General Info'!D4</f>
        <v>FY 2008-2009</v>
      </c>
      <c r="E243" s="82" t="str">
        <f>'General Info'!E4</f>
        <v>FY 2009-2010</v>
      </c>
      <c r="F243" s="82" t="str">
        <f>'General Info'!F4</f>
        <v>FY 2010-2011</v>
      </c>
      <c r="G243" s="82" t="str">
        <f>'General Info'!G4</f>
        <v>FY 2011-2012</v>
      </c>
      <c r="H243" s="82" t="str">
        <f>'General Info'!H4</f>
        <v>FY 2012-2013</v>
      </c>
      <c r="I243" s="82" t="str">
        <f>'General Info'!I4</f>
        <v>FY 2013-2014</v>
      </c>
      <c r="J243" s="346" t="str">
        <f>'General Info'!J4</f>
        <v>FY 2014-2015</v>
      </c>
      <c r="K243" s="346" t="str">
        <f>'General Info'!K4</f>
        <v>FY 2015-2016</v>
      </c>
    </row>
    <row r="244" spans="1:11">
      <c r="A244" s="347">
        <v>1</v>
      </c>
      <c r="B244" s="408" t="s">
        <v>748</v>
      </c>
      <c r="C244" s="191" t="s">
        <v>16</v>
      </c>
      <c r="D244" s="184">
        <f t="shared" ref="D244:J244" si="2">IF(OR(D33="na",D9="na"),"na",IF(OR(D33="nd",D9="nd"),"nd",IF(D9=0,0,D33/D9*100)))</f>
        <v>0</v>
      </c>
      <c r="E244" s="184">
        <f t="shared" si="2"/>
        <v>0</v>
      </c>
      <c r="F244" s="184">
        <f t="shared" si="2"/>
        <v>0</v>
      </c>
      <c r="G244" s="184">
        <f t="shared" si="2"/>
        <v>0</v>
      </c>
      <c r="H244" s="184">
        <f t="shared" si="2"/>
        <v>0</v>
      </c>
      <c r="I244" s="184">
        <f t="shared" si="2"/>
        <v>10.957403095466374</v>
      </c>
      <c r="J244" s="348">
        <f t="shared" si="2"/>
        <v>18.408044997443326</v>
      </c>
      <c r="K244" s="348">
        <f>IF(OR(K33="na",K9="na"),"na",IF(OR(K33="nd",K9="nd"),"nd",IF(K9=0,0,K33/K9*100)))</f>
        <v>33.947217693968369</v>
      </c>
    </row>
    <row r="245" spans="1:11">
      <c r="A245" s="347">
        <v>2</v>
      </c>
      <c r="B245" s="408" t="s">
        <v>749</v>
      </c>
      <c r="C245" s="191" t="s">
        <v>16</v>
      </c>
      <c r="D245" s="184">
        <f t="shared" ref="D245:J245" si="3">IF(OR(D38="na",D9="na"),"na",IF(OR(D38="nd",D9="nd"),"nd",IF(D9=0,0,D38/D9*100)))</f>
        <v>0</v>
      </c>
      <c r="E245" s="184">
        <f t="shared" si="3"/>
        <v>0</v>
      </c>
      <c r="F245" s="184">
        <f t="shared" si="3"/>
        <v>0</v>
      </c>
      <c r="G245" s="184">
        <f t="shared" si="3"/>
        <v>0</v>
      </c>
      <c r="H245" s="184">
        <f t="shared" si="3"/>
        <v>0</v>
      </c>
      <c r="I245" s="184">
        <f t="shared" si="3"/>
        <v>59.998630324613067</v>
      </c>
      <c r="J245" s="348">
        <f t="shared" si="3"/>
        <v>3.9202318050110789</v>
      </c>
      <c r="K245" s="348">
        <f>IF(OR(K38="na",K9="na"),"na",IF(OR(K38="nd",K9="nd"),"nd",IF(K9=0,0,K38/K9*100)))</f>
        <v>13.878486143543201</v>
      </c>
    </row>
    <row r="246" spans="1:11">
      <c r="A246" s="347">
        <v>3</v>
      </c>
      <c r="B246" s="408" t="s">
        <v>750</v>
      </c>
      <c r="C246" s="191" t="s">
        <v>16</v>
      </c>
      <c r="D246" s="184">
        <f t="shared" ref="D246:J246" si="4">IF(OR(D43="na",D9="na"),"na",IF(OR(D43="nd",D9="nd"),"nd",IF(D9=0,0,D43/D9*100)))</f>
        <v>0</v>
      </c>
      <c r="E246" s="184">
        <f t="shared" si="4"/>
        <v>0</v>
      </c>
      <c r="F246" s="184">
        <f t="shared" si="4"/>
        <v>0</v>
      </c>
      <c r="G246" s="184">
        <f t="shared" si="4"/>
        <v>0</v>
      </c>
      <c r="H246" s="184">
        <f t="shared" si="4"/>
        <v>0</v>
      </c>
      <c r="I246" s="184">
        <f t="shared" si="4"/>
        <v>0</v>
      </c>
      <c r="J246" s="348" t="str">
        <f t="shared" si="4"/>
        <v>na</v>
      </c>
      <c r="K246" s="348" t="str">
        <f>IF(OR(K43="na",K9="na"),"na",IF(OR(K43="nd",K9="nd"),"nd",IF(K9=0,0,K43/K9*100)))</f>
        <v>na</v>
      </c>
    </row>
    <row r="247" spans="1:11">
      <c r="A247" s="347">
        <v>4</v>
      </c>
      <c r="B247" s="408" t="s">
        <v>751</v>
      </c>
      <c r="C247" s="191" t="s">
        <v>16</v>
      </c>
      <c r="D247" s="184">
        <f t="shared" ref="D247:J247" si="5">IF(OR(D45="na",D9="na"),"na",IF(OR(D45="nd",D9="nd"),"nd",IF(D9=0,0,D45/D9*100)))</f>
        <v>0</v>
      </c>
      <c r="E247" s="184">
        <f t="shared" si="5"/>
        <v>0</v>
      </c>
      <c r="F247" s="184">
        <f t="shared" si="5"/>
        <v>0</v>
      </c>
      <c r="G247" s="184">
        <f t="shared" si="5"/>
        <v>0</v>
      </c>
      <c r="H247" s="184">
        <f t="shared" si="5"/>
        <v>0</v>
      </c>
      <c r="I247" s="184">
        <f t="shared" si="5"/>
        <v>35.748527598959043</v>
      </c>
      <c r="J247" s="348">
        <f t="shared" si="5"/>
        <v>4.7042781660132951</v>
      </c>
      <c r="K247" s="348">
        <f>IF(OR(K45="na",K9="na"),"na",IF(OR(K45="nd",K9="nd"),"nd",IF(K9=0,0,K45/K9*100)))</f>
        <v>10.485967308454862</v>
      </c>
    </row>
    <row r="248" spans="1:11">
      <c r="A248" s="349"/>
      <c r="B248" s="409"/>
      <c r="C248" s="208"/>
      <c r="D248" s="208"/>
      <c r="E248" s="208"/>
      <c r="F248" s="208"/>
      <c r="G248" s="208"/>
      <c r="H248" s="208"/>
      <c r="I248" s="208"/>
      <c r="J248" s="350"/>
      <c r="K248" s="350"/>
    </row>
    <row r="249" spans="1:11">
      <c r="A249" s="345" t="s">
        <v>2</v>
      </c>
      <c r="B249" s="410" t="s">
        <v>752</v>
      </c>
      <c r="C249" s="89"/>
      <c r="D249" s="82" t="str">
        <f>'General Info'!D4</f>
        <v>FY 2008-2009</v>
      </c>
      <c r="E249" s="82" t="str">
        <f>'General Info'!E4</f>
        <v>FY 2009-2010</v>
      </c>
      <c r="F249" s="82" t="str">
        <f>'General Info'!F4</f>
        <v>FY 2010-2011</v>
      </c>
      <c r="G249" s="82" t="str">
        <f>'General Info'!G4</f>
        <v>FY 2011-2012</v>
      </c>
      <c r="H249" s="82" t="str">
        <f>'General Info'!H4</f>
        <v>FY 2012-2013</v>
      </c>
      <c r="I249" s="82" t="str">
        <f>'General Info'!I4</f>
        <v>FY 2013-2014</v>
      </c>
      <c r="J249" s="346" t="str">
        <f>'General Info'!J4</f>
        <v>FY 2014-2015</v>
      </c>
      <c r="K249" s="346" t="str">
        <f>'General Info'!K4</f>
        <v>FY 2015-2016</v>
      </c>
    </row>
    <row r="250" spans="1:11">
      <c r="A250" s="351">
        <v>1</v>
      </c>
      <c r="B250" s="411" t="s">
        <v>748</v>
      </c>
      <c r="C250" s="190"/>
      <c r="D250" s="142"/>
      <c r="E250" s="142" t="str">
        <f>IF(AND(OR(Reliability!D57="Y",Reliability!D58="Y"),Reliability!D54="Y",Reliability!D52="Y"),"A",IF(AND(Reliability!D53="Y",Reliability!D54="Y"),"B",IF(Reliability!D55="Y","C","D")))</f>
        <v>D</v>
      </c>
      <c r="F250" s="142" t="str">
        <f>IF(AND(OR(Reliability!E57="Y",Reliability!E58="Y"),Reliability!E54="Y",Reliability!E52="Y"),"A",IF(AND(Reliability!E53="Y",Reliability!E54="Y"),"B",IF(Reliability!E55="Y","C","D")))</f>
        <v>D</v>
      </c>
      <c r="G250" s="142" t="str">
        <f>IF(AND(OR(Reliability!F57="Y",Reliability!F58="Y"),Reliability!F54="Y",Reliability!F52="Y"),"A",IF(AND(Reliability!F53="Y",Reliability!F54="Y"),"B",IF(Reliability!F55="Y","C","D")))</f>
        <v>D</v>
      </c>
      <c r="H250" s="142" t="str">
        <f>IF(AND(OR(Reliability!G57="Y",Reliability!G58="Y"),Reliability!G54="Y",Reliability!G52="Y"),"A",IF(AND(Reliability!G53="Y",Reliability!G54="Y"),"B",IF(Reliability!G55="Y","C","D")))</f>
        <v>D</v>
      </c>
      <c r="I250" s="142" t="str">
        <f>IF(AND(OR(Reliability!H57="Y",Reliability!H58="Y"),Reliability!H54="Y",Reliability!H52="Y"),"A",IF(AND(Reliability!H53="Y",Reliability!H54="Y"),"B",IF(Reliability!H55="Y","C","D")))</f>
        <v>D</v>
      </c>
      <c r="J250" s="352" t="str">
        <f>IF(AND(OR(Reliability!I57="Y",Reliability!I58="Y"),Reliability!I54="Y",Reliability!I52="Y"),"A",IF(AND(Reliability!I53="Y",Reliability!I54="Y"),"B",IF(Reliability!I55="Y","C","D")))</f>
        <v>A</v>
      </c>
      <c r="K250" s="352" t="str">
        <f>IF(AND(OR(Reliability!J57="Y",Reliability!J58="Y"),Reliability!J54="Y",Reliability!J52="Y"),"A",IF(AND(Reliability!J53="Y",Reliability!J54="Y"),"B",IF(Reliability!J55="Y","C","D")))</f>
        <v>A</v>
      </c>
    </row>
    <row r="251" spans="1:11">
      <c r="A251" s="351">
        <v>2</v>
      </c>
      <c r="B251" s="411" t="s">
        <v>749</v>
      </c>
      <c r="C251" s="190"/>
      <c r="D251" s="142"/>
      <c r="E251" s="142" t="str">
        <f>IF(AND(OR(Reliability!D63="Y",Reliability!D64="Y"),Reliability!D54="Y",Reliability!D52="Y"),"A",IF(AND(Reliability!D53="Y",Reliability!D54="Y"),"B",IF(Reliability!D55="Y","C","D")))</f>
        <v>D</v>
      </c>
      <c r="F251" s="142" t="str">
        <f>IF(AND(OR(Reliability!E63="Y",Reliability!E64="Y"),Reliability!E54="Y",Reliability!E52="Y"),"A",IF(AND(Reliability!E53="Y",Reliability!E54="Y"),"B",IF(Reliability!E55="Y","C","D")))</f>
        <v>D</v>
      </c>
      <c r="G251" s="142" t="str">
        <f>IF(AND(OR(Reliability!F63="Y",Reliability!F64="Y"),Reliability!F54="Y",Reliability!F52="Y"),"A",IF(AND(Reliability!F53="Y",Reliability!F54="Y"),"B",IF(Reliability!F55="Y","C","D")))</f>
        <v>D</v>
      </c>
      <c r="H251" s="142" t="str">
        <f>IF(AND(OR(Reliability!G63="Y",Reliability!G64="Y"),Reliability!G54="Y",Reliability!G52="Y"),"A",IF(AND(Reliability!G53="Y",Reliability!G54="Y"),"B",IF(Reliability!G55="Y","C","D")))</f>
        <v>D</v>
      </c>
      <c r="I251" s="142" t="str">
        <f>IF(AND(OR(Reliability!H63="Y",Reliability!H64="Y"),Reliability!H54="Y",Reliability!H52="Y"),"A",IF(AND(Reliability!H53="Y",Reliability!H54="Y"),"B",IF(Reliability!H55="Y","C","D")))</f>
        <v>D</v>
      </c>
      <c r="J251" s="352" t="str">
        <f>IF(AND(OR(Reliability!I63="Y",Reliability!I64="Y"),Reliability!I54="Y",Reliability!I52="Y"),"A",IF(AND(Reliability!I53="Y",Reliability!I54="Y"),"B",IF(Reliability!I55="Y","C","D")))</f>
        <v>A</v>
      </c>
      <c r="K251" s="352" t="str">
        <f>IF(AND(OR(Reliability!J63="Y",Reliability!J64="Y"),Reliability!J54="Y",Reliability!J52="Y"),"A",IF(AND(Reliability!J53="Y",Reliability!J54="Y"),"B",IF(Reliability!J55="Y","C","D")))</f>
        <v>A</v>
      </c>
    </row>
    <row r="252" spans="1:11">
      <c r="A252" s="351">
        <v>3</v>
      </c>
      <c r="B252" s="411" t="s">
        <v>750</v>
      </c>
      <c r="C252" s="190"/>
      <c r="D252" s="142"/>
      <c r="E252" s="142" t="str">
        <f>IF(AND(OR(Reliability!D59="Y",Reliability!D60="Y"),Reliability!D54="Y",Reliability!D52="Y"),"A",IF(AND(Reliability!D53="Y",Reliability!D54="Y"),"B",IF(Reliability!D55="Y","C","D")))</f>
        <v>D</v>
      </c>
      <c r="F252" s="142" t="str">
        <f>IF(AND(OR(Reliability!E59="Y",Reliability!E60="Y"),Reliability!E54="Y",Reliability!E52="Y"),"A",IF(AND(Reliability!E53="Y",Reliability!E54="Y"),"B",IF(Reliability!E55="Y","C","D")))</f>
        <v>D</v>
      </c>
      <c r="G252" s="142" t="str">
        <f>IF(AND(OR(Reliability!F59="Y",Reliability!F60="Y"),Reliability!F54="Y",Reliability!F52="Y"),"A",IF(AND(Reliability!F53="Y",Reliability!F54="Y"),"B",IF(Reliability!F55="Y","C","D")))</f>
        <v>D</v>
      </c>
      <c r="H252" s="142" t="str">
        <f>IF(AND(OR(Reliability!G59="Y",Reliability!G60="Y"),Reliability!G54="Y",Reliability!G52="Y"),"A",IF(AND(Reliability!G53="Y",Reliability!G54="Y"),"B",IF(Reliability!G55="Y","C","D")))</f>
        <v>D</v>
      </c>
      <c r="I252" s="142" t="str">
        <f>IF(AND(OR(Reliability!H59="Y",Reliability!H60="Y"),Reliability!H54="Y",Reliability!H52="Y"),"A",IF(AND(Reliability!H53="Y",Reliability!H54="Y"),"B",IF(Reliability!H55="Y","C","D")))</f>
        <v>D</v>
      </c>
      <c r="J252" s="352" t="str">
        <f>IF(AND(OR(Reliability!I59="Y",Reliability!I60="Y"),Reliability!I54="Y",Reliability!I52="Y"),"A",IF(AND(Reliability!I53="Y",Reliability!I54="Y"),"B",IF(Reliability!I55="Y","C","D")))</f>
        <v>A</v>
      </c>
      <c r="K252" s="352" t="str">
        <f>IF(AND(OR(Reliability!J59="Y",Reliability!J60="Y"),Reliability!J54="Y",Reliability!J52="Y"),"A",IF(AND(Reliability!J53="Y",Reliability!J54="Y"),"B",IF(Reliability!J55="Y","C","D")))</f>
        <v>A</v>
      </c>
    </row>
    <row r="253" spans="1:11">
      <c r="A253" s="351">
        <v>4</v>
      </c>
      <c r="B253" s="411" t="s">
        <v>751</v>
      </c>
      <c r="C253" s="190"/>
      <c r="D253" s="142"/>
      <c r="E253" s="142" t="str">
        <f>IF(AND(OR(Reliability!D65="Y",Reliability!D66="Y"),Reliability!D54="Y",Reliability!D52="Y"),"A",IF(AND(Reliability!D53="Y",Reliability!D54="Y"),"B",IF(Reliability!D55="Y","C","D")))</f>
        <v>D</v>
      </c>
      <c r="F253" s="142" t="str">
        <f>IF(AND(OR(Reliability!E65="Y",Reliability!E66="Y"),Reliability!E54="Y",Reliability!E52="Y"),"A",IF(AND(Reliability!E53="Y",Reliability!E54="Y"),"B",IF(Reliability!E55="Y","C","D")))</f>
        <v>D</v>
      </c>
      <c r="G253" s="142" t="str">
        <f>IF(AND(OR(Reliability!F65="Y",Reliability!F66="Y"),Reliability!F54="Y",Reliability!F52="Y"),"A",IF(AND(Reliability!F53="Y",Reliability!F54="Y"),"B",IF(Reliability!F55="Y","C","D")))</f>
        <v>D</v>
      </c>
      <c r="H253" s="142" t="str">
        <f>IF(AND(OR(Reliability!G65="Y",Reliability!G66="Y"),Reliability!G54="Y",Reliability!G52="Y"),"A",IF(AND(Reliability!G53="Y",Reliability!G54="Y"),"B",IF(Reliability!G55="Y","C","D")))</f>
        <v>D</v>
      </c>
      <c r="I253" s="142" t="str">
        <f>IF(AND(OR(Reliability!H65="Y",Reliability!H66="Y"),Reliability!H54="Y",Reliability!H52="Y"),"A",IF(AND(Reliability!H53="Y",Reliability!H54="Y"),"B",IF(Reliability!H55="Y","C","D")))</f>
        <v>D</v>
      </c>
      <c r="J253" s="352" t="str">
        <f>IF(AND(OR(Reliability!I65="Y",Reliability!I66="Y"),Reliability!I54="Y",Reliability!I52="Y"),"A",IF(AND(Reliability!I53="Y",Reliability!I54="Y"),"B",IF(Reliability!I55="Y","C","D")))</f>
        <v>A</v>
      </c>
      <c r="K253" s="352" t="str">
        <f>IF(AND(OR(Reliability!J65="Y",Reliability!J66="Y"),Reliability!J54="Y",Reliability!J52="Y"),"A",IF(AND(Reliability!J53="Y",Reliability!J54="Y"),"B",IF(Reliability!J55="Y","C","D")))</f>
        <v>A</v>
      </c>
    </row>
    <row r="254" spans="1:11">
      <c r="A254" s="325"/>
      <c r="B254" s="395"/>
      <c r="C254" s="326"/>
      <c r="D254" s="326"/>
      <c r="E254" s="326"/>
      <c r="F254" s="326"/>
      <c r="G254" s="326"/>
      <c r="H254" s="326"/>
      <c r="I254" s="326"/>
      <c r="J254" s="327"/>
      <c r="K254" s="327"/>
    </row>
    <row r="255" spans="1:11">
      <c r="A255" s="345" t="s">
        <v>2</v>
      </c>
      <c r="B255" s="407" t="s">
        <v>223</v>
      </c>
      <c r="C255" s="82" t="s">
        <v>4</v>
      </c>
      <c r="D255" s="82" t="str">
        <f>'General Info'!D4</f>
        <v>FY 2008-2009</v>
      </c>
      <c r="E255" s="82" t="str">
        <f>'General Info'!E4</f>
        <v>FY 2009-2010</v>
      </c>
      <c r="F255" s="82" t="str">
        <f>'General Info'!F4</f>
        <v>FY 2010-2011</v>
      </c>
      <c r="G255" s="82" t="str">
        <f>'General Info'!G4</f>
        <v>FY 2011-2012</v>
      </c>
      <c r="H255" s="82" t="str">
        <f>'General Info'!H4</f>
        <v>FY 2012-2013</v>
      </c>
      <c r="I255" s="82" t="str">
        <f>'General Info'!I4</f>
        <v>FY 2013-2014</v>
      </c>
      <c r="J255" s="346" t="str">
        <f>'General Info'!J4</f>
        <v>FY 2014-2015</v>
      </c>
      <c r="K255" s="346" t="str">
        <f>'General Info'!K4</f>
        <v>FY 2015-2016</v>
      </c>
    </row>
    <row r="256" spans="1:11">
      <c r="A256" s="347"/>
      <c r="B256" s="412" t="s">
        <v>753</v>
      </c>
      <c r="C256" s="191"/>
      <c r="D256" s="184"/>
      <c r="E256" s="184"/>
      <c r="F256" s="184"/>
      <c r="G256" s="184"/>
      <c r="H256" s="184"/>
      <c r="I256" s="184"/>
      <c r="J256" s="348"/>
      <c r="K256" s="348"/>
    </row>
    <row r="257" spans="1:11">
      <c r="A257" s="347">
        <v>1</v>
      </c>
      <c r="B257" s="408" t="s">
        <v>754</v>
      </c>
      <c r="C257" s="191" t="s">
        <v>16</v>
      </c>
      <c r="D257" s="184" t="e">
        <f t="shared" ref="D257:J257" si="6">IF(OR(D32="na",D7="na"),"na",IF(OR(D32="nd",D7="nd"),"nd",D32/D7*100))</f>
        <v>#DIV/0!</v>
      </c>
      <c r="E257" s="184" t="e">
        <f t="shared" si="6"/>
        <v>#DIV/0!</v>
      </c>
      <c r="F257" s="184">
        <f t="shared" si="6"/>
        <v>0</v>
      </c>
      <c r="G257" s="184">
        <f t="shared" si="6"/>
        <v>0</v>
      </c>
      <c r="H257" s="184">
        <f t="shared" si="6"/>
        <v>0</v>
      </c>
      <c r="I257" s="184">
        <f t="shared" si="6"/>
        <v>80</v>
      </c>
      <c r="J257" s="348">
        <f t="shared" si="6"/>
        <v>80</v>
      </c>
      <c r="K257" s="348">
        <f>IF(OR(K32="na",K7="na"),"na",IF(OR(K32="nd",K7="nd"),"nd",K32/K7*100))</f>
        <v>100</v>
      </c>
    </row>
    <row r="258" spans="1:11">
      <c r="A258" s="347">
        <v>2</v>
      </c>
      <c r="B258" s="408" t="s">
        <v>755</v>
      </c>
      <c r="C258" s="191" t="s">
        <v>16</v>
      </c>
      <c r="D258" s="184" t="e">
        <f t="shared" ref="D258:J258" si="7">IF(OR(D42="na",D7="na"),"na",IF(OR(D42="nd",D7="nd"),"nd",D42/D7*100))</f>
        <v>#DIV/0!</v>
      </c>
      <c r="E258" s="184" t="e">
        <f t="shared" si="7"/>
        <v>#DIV/0!</v>
      </c>
      <c r="F258" s="184">
        <f t="shared" si="7"/>
        <v>0</v>
      </c>
      <c r="G258" s="184">
        <f t="shared" si="7"/>
        <v>0</v>
      </c>
      <c r="H258" s="184">
        <f t="shared" si="7"/>
        <v>0</v>
      </c>
      <c r="I258" s="184">
        <f t="shared" si="7"/>
        <v>0</v>
      </c>
      <c r="J258" s="348" t="str">
        <f t="shared" si="7"/>
        <v>na</v>
      </c>
      <c r="K258" s="348" t="str">
        <f>IF(OR(K42="na",K7="na"),"na",IF(OR(K42="nd",K7="nd"),"nd",K42/K7*100))</f>
        <v>na</v>
      </c>
    </row>
    <row r="259" spans="1:11">
      <c r="A259" s="347">
        <v>3</v>
      </c>
      <c r="B259" s="408" t="s">
        <v>756</v>
      </c>
      <c r="C259" s="191" t="s">
        <v>227</v>
      </c>
      <c r="D259" s="184">
        <f t="shared" ref="D259:J259" si="8">IF(D15="na","na",IF(D15="nd","nd",D15))</f>
        <v>0</v>
      </c>
      <c r="E259" s="184">
        <f t="shared" si="8"/>
        <v>0</v>
      </c>
      <c r="F259" s="184">
        <f t="shared" si="8"/>
        <v>0</v>
      </c>
      <c r="G259" s="184">
        <f t="shared" si="8"/>
        <v>0</v>
      </c>
      <c r="H259" s="184">
        <f t="shared" si="8"/>
        <v>0</v>
      </c>
      <c r="I259" s="184" t="str">
        <f t="shared" si="8"/>
        <v>YES</v>
      </c>
      <c r="J259" s="348" t="str">
        <f t="shared" si="8"/>
        <v>YES</v>
      </c>
      <c r="K259" s="348" t="str">
        <f>IF(K15="na","na",IF(K15="nd","nd",K15))</f>
        <v>YES</v>
      </c>
    </row>
    <row r="260" spans="1:11">
      <c r="A260" s="347">
        <v>4</v>
      </c>
      <c r="B260" s="408" t="s">
        <v>757</v>
      </c>
      <c r="C260" s="191" t="s">
        <v>227</v>
      </c>
      <c r="D260" s="184" t="str">
        <f t="shared" ref="D260:J260" si="9">IF(D25="na","na",IF(D25="nd","nd",IF(D25=1,"N","Y")))</f>
        <v>Y</v>
      </c>
      <c r="E260" s="184" t="str">
        <f t="shared" si="9"/>
        <v>Y</v>
      </c>
      <c r="F260" s="184" t="str">
        <f t="shared" si="9"/>
        <v>Y</v>
      </c>
      <c r="G260" s="184" t="str">
        <f t="shared" si="9"/>
        <v>Y</v>
      </c>
      <c r="H260" s="184" t="str">
        <f t="shared" si="9"/>
        <v>Y</v>
      </c>
      <c r="I260" s="184" t="str">
        <f t="shared" si="9"/>
        <v>Y</v>
      </c>
      <c r="J260" s="348" t="str">
        <f t="shared" si="9"/>
        <v>Y</v>
      </c>
      <c r="K260" s="348" t="str">
        <f>IF(K25="na","na",IF(K25="nd","nd",IF(K25=1,"N","Y")))</f>
        <v>Y</v>
      </c>
    </row>
    <row r="261" spans="1:11">
      <c r="A261" s="347">
        <v>5</v>
      </c>
      <c r="B261" s="408" t="s">
        <v>758</v>
      </c>
      <c r="C261" s="191" t="s">
        <v>16</v>
      </c>
      <c r="D261" s="184">
        <f t="shared" ref="D261:J261" si="10">IF(OR(D33="na",D9="na",D34="na"),"na",IF(OR(D33="nd",D9="nd",D34="nd"),"nd",IF(D9=0,0,(D34/(D9-D33))*100)))</f>
        <v>0</v>
      </c>
      <c r="E261" s="184">
        <f t="shared" si="10"/>
        <v>0</v>
      </c>
      <c r="F261" s="184">
        <f t="shared" si="10"/>
        <v>0</v>
      </c>
      <c r="G261" s="184">
        <f t="shared" si="10"/>
        <v>0</v>
      </c>
      <c r="H261" s="184">
        <f t="shared" si="10"/>
        <v>0</v>
      </c>
      <c r="I261" s="184">
        <f t="shared" si="10"/>
        <v>6.9220119981541304</v>
      </c>
      <c r="J261" s="348">
        <f t="shared" si="10"/>
        <v>9.1915604762899523</v>
      </c>
      <c r="K261" s="348">
        <f>IF(OR(K33="na",K9="na",K34="na"),"na",IF(OR(K33="nd",K9="nd",K34="nd"),"nd",IF(K9=0,0,(K34/(K9-K33))*100)))</f>
        <v>15.374866595517608</v>
      </c>
    </row>
    <row r="262" spans="1:11">
      <c r="A262" s="347">
        <v>6</v>
      </c>
      <c r="B262" s="408" t="s">
        <v>759</v>
      </c>
      <c r="C262" s="191" t="s">
        <v>19</v>
      </c>
      <c r="D262" s="184">
        <f t="shared" ref="D262:J262" si="11">IF(D39="na","na",IF(D39="nd","nd",D39))</f>
        <v>0</v>
      </c>
      <c r="E262" s="184">
        <f t="shared" si="11"/>
        <v>0</v>
      </c>
      <c r="F262" s="184">
        <f t="shared" si="11"/>
        <v>0</v>
      </c>
      <c r="G262" s="184">
        <f t="shared" si="11"/>
        <v>0</v>
      </c>
      <c r="H262" s="184">
        <f t="shared" si="11"/>
        <v>0</v>
      </c>
      <c r="I262" s="184">
        <f t="shared" si="11"/>
        <v>850</v>
      </c>
      <c r="J262" s="348">
        <f t="shared" si="11"/>
        <v>115</v>
      </c>
      <c r="K262" s="348">
        <f>IF(K39="na","na",IF(K39="nd","nd",K39))</f>
        <v>2000</v>
      </c>
    </row>
    <row r="263" spans="1:11">
      <c r="A263" s="347">
        <v>7</v>
      </c>
      <c r="B263" s="408" t="s">
        <v>760</v>
      </c>
      <c r="C263" s="191" t="s">
        <v>16</v>
      </c>
      <c r="D263" s="184">
        <f>IF('General Info'!D16="na","na",IF(OR('General Info'!D16="nd",D38="nd",D40="nd",D41="nd"),"nd",IF('General Info'!D16=0,0,('General Info'!D16-SUM(D38,SUM(D40,D41)*10))/'General Info'!D16*100)))</f>
        <v>0</v>
      </c>
      <c r="E263" s="184">
        <f>IF('General Info'!E16="na","na",IF(OR('General Info'!E16="nd",E38="nd",E40="nd",E41="nd"),"nd",IF('General Info'!E16=0,0,('General Info'!E16-SUM(E38,SUM(E40,E41)*10))/'General Info'!E16*100)))</f>
        <v>0</v>
      </c>
      <c r="F263" s="184">
        <f>IF('General Info'!F16="na","na",IF(OR('General Info'!F16="nd",F38="nd",F40="nd",F41="nd"),"nd",IF('General Info'!F16=0,0,('General Info'!F16-SUM(F38,SUM(F40,F41)*10))/'General Info'!F16*100)))</f>
        <v>100</v>
      </c>
      <c r="G263" s="184">
        <f>IF('General Info'!G16="na","na",IF(OR('General Info'!G16="nd",G38="nd",G40="nd",G41="nd"),"nd",IF('General Info'!G16=0,0,('General Info'!G16-SUM(G38,SUM(G40,G41)*10))/'General Info'!G16*100)))</f>
        <v>100</v>
      </c>
      <c r="H263" s="184">
        <f>IF('General Info'!H16="na","na",IF(OR('General Info'!H16="nd",H38="nd",H40="nd",H41="nd"),"nd",IF('General Info'!H16=0,0,('General Info'!H16-SUM(H38,SUM(H40,H41)*10))/'General Info'!H16*100)))</f>
        <v>100</v>
      </c>
      <c r="I263" s="184">
        <f>IF('General Info'!I16="na","na",IF(OR('General Info'!I16="nd",I38="nd",I40="nd",I41="nd"),"nd",IF('General Info'!I16=0,0,('General Info'!I16-SUM(I38,SUM(I40,I41)*10))/'General Info'!I16*100)))</f>
        <v>26.133406382687301</v>
      </c>
      <c r="J263" s="348">
        <f>IF('General Info'!J16="na","na",IF(OR('General Info'!J16="nd",J38="nd",J40="nd",J41="nd"),"nd",IF('General Info'!J16=0,0,('General Info'!J16-SUM(J38,SUM(J40,J41)*10))/'General Info'!J16*100)))</f>
        <v>86.671211862962323</v>
      </c>
      <c r="K263" s="348">
        <f>IF('General Info'!K16="na","na",IF(OR('General Info'!K16="nd",K38="nd",K40="nd",K41="nd"),"nd",IF('General Info'!K16=0,0,('General Info'!K16-SUM(K38,SUM(K40,K41)*10))/'General Info'!K16*100)))</f>
        <v>71.141560558664139</v>
      </c>
    </row>
    <row r="264" spans="1:11">
      <c r="A264" s="347">
        <v>8</v>
      </c>
      <c r="B264" s="408" t="s">
        <v>761</v>
      </c>
      <c r="C264" s="191" t="s">
        <v>16</v>
      </c>
      <c r="D264" s="184" t="e">
        <f>IF(OR(D8="na",D10="na"),"na",IF(OR(D8="nd",D10="nd",D33="nd",D35="nd",D36="nd"),"nd",IF(D8=0,0,SUM((D33*D10),(D35*25),(D36*125))/D8*100)))</f>
        <v>#DIV/0!</v>
      </c>
      <c r="E264" s="184" t="e">
        <f t="shared" ref="E264:J264" si="12">IF(OR(E8="na",E10="na"),"na",IF(OR(E8="nd",E10="nd",E33="nd",E35="nd",E36="nd"),"nd",IF(E8=0,0,SUM((E33*E10),(IF(E35="na",0,E35)*25),(IF(E36="na",0,E36)*125))/E8*100)))</f>
        <v>#DIV/0!</v>
      </c>
      <c r="F264" s="184">
        <f t="shared" si="12"/>
        <v>0</v>
      </c>
      <c r="G264" s="184">
        <f t="shared" si="12"/>
        <v>0</v>
      </c>
      <c r="H264" s="184">
        <f t="shared" si="12"/>
        <v>0</v>
      </c>
      <c r="I264" s="184">
        <f t="shared" si="12"/>
        <v>188.63027750538492</v>
      </c>
      <c r="J264" s="348">
        <f t="shared" si="12"/>
        <v>194.11325764674677</v>
      </c>
      <c r="K264" s="348">
        <f>IF(OR(K8="na",K10="na"),"na",IF(OR(K8="nd",K10="nd",K33="nd",K35="nd",K36="nd"),"nd",IF(K8=0,0,SUM((K33*K10),(IF(K35="na",0,K35)*25),(IF(K36="na",0,K36)*125))/K8*100)))</f>
        <v>202.3415706558736</v>
      </c>
    </row>
    <row r="265" spans="1:11">
      <c r="A265" s="347">
        <v>9</v>
      </c>
      <c r="B265" s="408" t="s">
        <v>762</v>
      </c>
      <c r="C265" s="191" t="s">
        <v>16</v>
      </c>
      <c r="D265" s="184" t="e">
        <f t="shared" ref="D265:J265" si="13">IF(OR(D8="na",D10="na"),"na",IF(OR(D8="nd",D10="nd",D38="nd",D40="nd",D41="nd"),"nd",IF(D8=0,0,(SUM(D38,(SUM(D40,D41)*10)*D10)/D8*100))))</f>
        <v>#DIV/0!</v>
      </c>
      <c r="E265" s="184" t="e">
        <f t="shared" si="13"/>
        <v>#DIV/0!</v>
      </c>
      <c r="F265" s="184">
        <f t="shared" si="13"/>
        <v>0</v>
      </c>
      <c r="G265" s="184">
        <f t="shared" si="13"/>
        <v>0</v>
      </c>
      <c r="H265" s="184">
        <f t="shared" si="13"/>
        <v>0</v>
      </c>
      <c r="I265" s="184">
        <f t="shared" si="13"/>
        <v>26.853089905465399</v>
      </c>
      <c r="J265" s="348">
        <f t="shared" si="13"/>
        <v>10.254885104997056</v>
      </c>
      <c r="K265" s="348">
        <f>IF(OR(K8="na",K10="na"),"na",IF(OR(K8="nd",K10="nd",K38="nd",K40="nd",K41="nd"),"nd",IF(K8=0,0,(SUM(K38,(SUM(K40,K41)*10)*K10)/K8*100))))</f>
        <v>17.292507899776318</v>
      </c>
    </row>
    <row r="266" spans="1:11">
      <c r="A266" s="347">
        <v>10</v>
      </c>
      <c r="B266" s="408" t="s">
        <v>763</v>
      </c>
      <c r="C266" s="191" t="s">
        <v>16</v>
      </c>
      <c r="D266" s="184">
        <f t="shared" ref="D266:J266" si="14">IF(D22="na","na",IF(D22="nd","nd",D22))</f>
        <v>0</v>
      </c>
      <c r="E266" s="184">
        <f t="shared" si="14"/>
        <v>0</v>
      </c>
      <c r="F266" s="184">
        <f t="shared" si="14"/>
        <v>0</v>
      </c>
      <c r="G266" s="184">
        <f t="shared" si="14"/>
        <v>0</v>
      </c>
      <c r="H266" s="184">
        <f t="shared" si="14"/>
        <v>0</v>
      </c>
      <c r="I266" s="184">
        <f t="shared" si="14"/>
        <v>0</v>
      </c>
      <c r="J266" s="348">
        <f t="shared" si="14"/>
        <v>1</v>
      </c>
      <c r="K266" s="348">
        <f>IF(K22="na","na",IF(K22="nd","nd",K22))</f>
        <v>1</v>
      </c>
    </row>
    <row r="267" spans="1:11">
      <c r="A267" s="347">
        <v>11</v>
      </c>
      <c r="B267" s="408" t="s">
        <v>764</v>
      </c>
      <c r="C267" s="191" t="s">
        <v>16</v>
      </c>
      <c r="D267" s="184" t="e">
        <f>IF(water!D151="na","na",IF(OR(water!D151="nd",water!D151="nd"),"nd",water!D151/water!D150*100))</f>
        <v>#DIV/0!</v>
      </c>
      <c r="E267" s="184" t="e">
        <f>IF(water!E151="na","na",IF(OR(water!E151="nd",water!E151="nd"),"nd",water!E151/water!E150*100))</f>
        <v>#DIV/0!</v>
      </c>
      <c r="F267" s="184" t="e">
        <f>IF(water!F151="na","na",IF(OR(water!F151="nd",water!F151="nd"),"nd",water!F151/water!F150*100))</f>
        <v>#DIV/0!</v>
      </c>
      <c r="G267" s="184" t="e">
        <f>IF(water!G151="na","na",IF(OR(water!G151="nd",water!G151="nd"),"nd",water!G151/water!G150*100))</f>
        <v>#DIV/0!</v>
      </c>
      <c r="H267" s="184" t="e">
        <f>IF(water!H151="na","na",IF(OR(water!H151="nd",water!H151="nd"),"nd",water!H151/water!H150*100))</f>
        <v>#DIV/0!</v>
      </c>
      <c r="I267" s="184">
        <f>IF(water!I151="na","na",IF(OR(water!I151="nd",water!I151="nd"),"nd",water!I151/water!I150*100))</f>
        <v>30</v>
      </c>
      <c r="J267" s="348">
        <f>IF(water!J151="na","na",IF(OR(water!J151="nd",water!J151="nd"),"nd",water!J151/water!J150*100))</f>
        <v>30</v>
      </c>
      <c r="K267" s="348">
        <f>IF(water!K151="na","na",IF(OR(water!K151="nd",water!K151="nd"),"nd",water!K151/water!K150*100))</f>
        <v>30</v>
      </c>
    </row>
    <row r="268" spans="1:11">
      <c r="A268" s="347">
        <v>12</v>
      </c>
      <c r="B268" s="408" t="s">
        <v>765</v>
      </c>
      <c r="C268" s="191" t="s">
        <v>16</v>
      </c>
      <c r="D268" s="184" t="e">
        <f>IF(OR(sewerage!D112="na",sewerage!D111="na"),"na",IF(OR(sewerage!D112="nd",sewerage!D111="nd"),"nd",sewerage!D112/sewerage!D111*100))</f>
        <v>#DIV/0!</v>
      </c>
      <c r="E268" s="184" t="e">
        <f>IF(OR(sewerage!E112="na",sewerage!E111="na"),"na",IF(OR(sewerage!E112="nd",sewerage!E111="nd"),"nd",sewerage!E112/sewerage!E111*100))</f>
        <v>#DIV/0!</v>
      </c>
      <c r="F268" s="184" t="e">
        <f>IF(OR(sewerage!F112="na",sewerage!F111="na"),"na",IF(OR(sewerage!F112="nd",sewerage!F111="nd"),"nd",sewerage!F112/sewerage!F111*100))</f>
        <v>#DIV/0!</v>
      </c>
      <c r="G268" s="184" t="e">
        <f>IF(OR(sewerage!G112="na",sewerage!G111="na"),"na",IF(OR(sewerage!G112="nd",sewerage!G111="nd"),"nd",sewerage!G112/sewerage!G111*100))</f>
        <v>#DIV/0!</v>
      </c>
      <c r="H268" s="184" t="e">
        <f>IF(OR(sewerage!H112="na",sewerage!H111="na"),"na",IF(OR(sewerage!H112="nd",sewerage!H111="nd"),"nd",sewerage!H112/sewerage!H111*100))</f>
        <v>#DIV/0!</v>
      </c>
      <c r="I268" s="184" t="e">
        <f>IF(OR(sewerage!I112="na",sewerage!I111="na"),"na",IF(OR(sewerage!I112="nd",sewerage!I111="nd"),"nd",sewerage!I112/sewerage!I111*100))</f>
        <v>#DIV/0!</v>
      </c>
      <c r="J268" s="348" t="str">
        <f>IF(OR(sewerage!J112="na",sewerage!J111="na"),"na",IF(OR(sewerage!J112="nd",sewerage!J111="nd"),"nd",sewerage!J112/sewerage!J111*100))</f>
        <v>na</v>
      </c>
      <c r="K268" s="348" t="str">
        <f>IF(OR(sewerage!K112="na",sewerage!K111="na"),"na",IF(OR(sewerage!K112="nd",sewerage!K111="nd"),"nd",sewerage!K112/sewerage!K111*100))</f>
        <v>na</v>
      </c>
    </row>
    <row r="269" spans="1:11">
      <c r="A269" s="347">
        <v>13</v>
      </c>
      <c r="B269" s="408" t="s">
        <v>766</v>
      </c>
      <c r="C269" s="191" t="s">
        <v>16</v>
      </c>
      <c r="D269" s="184">
        <f t="shared" ref="D269:J269" si="15">IF(D23="na","na",IF(D23="nd","nd",D23))</f>
        <v>0</v>
      </c>
      <c r="E269" s="184">
        <f t="shared" si="15"/>
        <v>0</v>
      </c>
      <c r="F269" s="184">
        <f t="shared" si="15"/>
        <v>0</v>
      </c>
      <c r="G269" s="184">
        <f t="shared" si="15"/>
        <v>0</v>
      </c>
      <c r="H269" s="184">
        <f t="shared" si="15"/>
        <v>0</v>
      </c>
      <c r="I269" s="184">
        <f t="shared" si="15"/>
        <v>0</v>
      </c>
      <c r="J269" s="348">
        <f t="shared" si="15"/>
        <v>10</v>
      </c>
      <c r="K269" s="348">
        <f>IF(K23="na","na",IF(K23="nd","nd",K23))</f>
        <v>10</v>
      </c>
    </row>
    <row r="270" spans="1:11">
      <c r="A270" s="353"/>
      <c r="B270" s="413"/>
      <c r="C270" s="225"/>
      <c r="D270" s="225"/>
      <c r="E270" s="202"/>
      <c r="F270" s="202"/>
      <c r="G270" s="202"/>
      <c r="H270" s="202"/>
      <c r="I270" s="202"/>
      <c r="J270" s="313"/>
      <c r="K270" s="313"/>
    </row>
    <row r="271" spans="1:11">
      <c r="A271" s="354"/>
      <c r="B271" s="414" t="s">
        <v>767</v>
      </c>
      <c r="C271" s="82" t="s">
        <v>4</v>
      </c>
      <c r="D271" s="82" t="str">
        <f>'General Info'!D4</f>
        <v>FY 2008-2009</v>
      </c>
      <c r="E271" s="82" t="str">
        <f>'General Info'!E4</f>
        <v>FY 2009-2010</v>
      </c>
      <c r="F271" s="82" t="str">
        <f>'General Info'!F4</f>
        <v>FY 2010-2011</v>
      </c>
      <c r="G271" s="82" t="str">
        <f>'General Info'!G4</f>
        <v>FY 2011-2012</v>
      </c>
      <c r="H271" s="82" t="str">
        <f>'General Info'!H4</f>
        <v>FY 2012-2013</v>
      </c>
      <c r="I271" s="82" t="str">
        <f>'General Info'!I4</f>
        <v>FY 2013-2014</v>
      </c>
      <c r="J271" s="346" t="str">
        <f>'General Info'!J4</f>
        <v>FY 2014-2015</v>
      </c>
      <c r="K271" s="346" t="str">
        <f>'General Info'!K4</f>
        <v>FY 2015-2016</v>
      </c>
    </row>
    <row r="272" spans="1:11">
      <c r="A272" s="355">
        <v>1</v>
      </c>
      <c r="B272" s="415" t="s">
        <v>768</v>
      </c>
      <c r="C272" s="226"/>
      <c r="D272" s="356"/>
      <c r="E272" s="356"/>
      <c r="F272" s="356"/>
      <c r="G272" s="356"/>
      <c r="H272" s="356"/>
      <c r="I272" s="356"/>
      <c r="J272" s="357"/>
      <c r="K272" s="357"/>
    </row>
    <row r="273" spans="1:11">
      <c r="A273" s="358"/>
      <c r="B273" s="227" t="s">
        <v>769</v>
      </c>
      <c r="C273" s="228" t="s">
        <v>227</v>
      </c>
      <c r="D273" s="228">
        <f t="shared" ref="D273:K273" si="16">D16</f>
        <v>0</v>
      </c>
      <c r="E273" s="228">
        <f t="shared" si="16"/>
        <v>0</v>
      </c>
      <c r="F273" s="228">
        <f t="shared" si="16"/>
        <v>0</v>
      </c>
      <c r="G273" s="228">
        <f t="shared" si="16"/>
        <v>0</v>
      </c>
      <c r="H273" s="228">
        <f t="shared" si="16"/>
        <v>0</v>
      </c>
      <c r="I273" s="228" t="str">
        <f t="shared" si="16"/>
        <v>NO</v>
      </c>
      <c r="J273" s="359" t="str">
        <f t="shared" si="16"/>
        <v>NO</v>
      </c>
      <c r="K273" s="359" t="str">
        <f t="shared" si="16"/>
        <v>NO</v>
      </c>
    </row>
    <row r="274" spans="1:11" ht="25.5">
      <c r="A274" s="358"/>
      <c r="B274" s="227" t="s">
        <v>770</v>
      </c>
      <c r="C274" s="228" t="s">
        <v>227</v>
      </c>
      <c r="D274" s="229">
        <f t="shared" ref="D274:K274" si="17">IF(OR(D25=1,D25=2,D25=3),"Y",0)</f>
        <v>0</v>
      </c>
      <c r="E274" s="229">
        <f t="shared" si="17"/>
        <v>0</v>
      </c>
      <c r="F274" s="229">
        <f t="shared" si="17"/>
        <v>0</v>
      </c>
      <c r="G274" s="229">
        <f t="shared" si="17"/>
        <v>0</v>
      </c>
      <c r="H274" s="229">
        <f t="shared" si="17"/>
        <v>0</v>
      </c>
      <c r="I274" s="229" t="str">
        <f t="shared" si="17"/>
        <v>Y</v>
      </c>
      <c r="J274" s="360" t="str">
        <f t="shared" si="17"/>
        <v>Y</v>
      </c>
      <c r="K274" s="360" t="str">
        <f t="shared" si="17"/>
        <v>Y</v>
      </c>
    </row>
    <row r="275" spans="1:11">
      <c r="A275" s="358"/>
      <c r="B275" s="227" t="s">
        <v>771</v>
      </c>
      <c r="C275" s="228" t="s">
        <v>227</v>
      </c>
      <c r="D275" s="228">
        <f t="shared" ref="D275:K275" si="18">D20</f>
        <v>0</v>
      </c>
      <c r="E275" s="228">
        <f t="shared" si="18"/>
        <v>0</v>
      </c>
      <c r="F275" s="228">
        <f t="shared" si="18"/>
        <v>0</v>
      </c>
      <c r="G275" s="228">
        <f t="shared" si="18"/>
        <v>0</v>
      </c>
      <c r="H275" s="228">
        <f t="shared" si="18"/>
        <v>0</v>
      </c>
      <c r="I275" s="228" t="str">
        <f t="shared" si="18"/>
        <v>NO</v>
      </c>
      <c r="J275" s="359" t="str">
        <f t="shared" si="18"/>
        <v>NO</v>
      </c>
      <c r="K275" s="359" t="str">
        <f t="shared" si="18"/>
        <v>NO</v>
      </c>
    </row>
    <row r="276" spans="1:11">
      <c r="A276" s="355">
        <v>2</v>
      </c>
      <c r="B276" s="415" t="s">
        <v>772</v>
      </c>
      <c r="C276" s="230"/>
      <c r="D276" s="230"/>
      <c r="E276" s="230"/>
      <c r="F276" s="230"/>
      <c r="G276" s="230"/>
      <c r="H276" s="230"/>
      <c r="I276" s="230"/>
      <c r="J276" s="361"/>
      <c r="K276" s="361"/>
    </row>
    <row r="277" spans="1:11" ht="25.5">
      <c r="A277" s="358"/>
      <c r="B277" s="227" t="s">
        <v>773</v>
      </c>
      <c r="C277" s="228" t="s">
        <v>227</v>
      </c>
      <c r="D277" s="228">
        <f t="shared" ref="D277:K277" si="19">D19</f>
        <v>0</v>
      </c>
      <c r="E277" s="228">
        <f t="shared" si="19"/>
        <v>0</v>
      </c>
      <c r="F277" s="228">
        <f t="shared" si="19"/>
        <v>0</v>
      </c>
      <c r="G277" s="228">
        <f t="shared" si="19"/>
        <v>0</v>
      </c>
      <c r="H277" s="228">
        <f t="shared" si="19"/>
        <v>0</v>
      </c>
      <c r="I277" s="228" t="str">
        <f t="shared" si="19"/>
        <v>NO</v>
      </c>
      <c r="J277" s="359" t="str">
        <f t="shared" si="19"/>
        <v>NO</v>
      </c>
      <c r="K277" s="359" t="str">
        <f t="shared" si="19"/>
        <v>NO</v>
      </c>
    </row>
    <row r="278" spans="1:11">
      <c r="A278" s="358"/>
      <c r="B278" s="227" t="s">
        <v>774</v>
      </c>
      <c r="C278" s="228" t="s">
        <v>227</v>
      </c>
      <c r="D278" s="229" t="str">
        <f t="shared" ref="D278:K278" si="20">IF(D34&gt;0,"Y","N")</f>
        <v>N</v>
      </c>
      <c r="E278" s="229" t="str">
        <f t="shared" si="20"/>
        <v>N</v>
      </c>
      <c r="F278" s="229" t="str">
        <f t="shared" si="20"/>
        <v>N</v>
      </c>
      <c r="G278" s="229" t="str">
        <f t="shared" si="20"/>
        <v>N</v>
      </c>
      <c r="H278" s="229" t="str">
        <f t="shared" si="20"/>
        <v>N</v>
      </c>
      <c r="I278" s="229" t="str">
        <f t="shared" si="20"/>
        <v>Y</v>
      </c>
      <c r="J278" s="360" t="str">
        <f t="shared" si="20"/>
        <v>Y</v>
      </c>
      <c r="K278" s="360" t="str">
        <f t="shared" si="20"/>
        <v>Y</v>
      </c>
    </row>
    <row r="279" spans="1:11">
      <c r="A279" s="358"/>
      <c r="B279" s="227" t="s">
        <v>775</v>
      </c>
      <c r="C279" s="228" t="s">
        <v>227</v>
      </c>
      <c r="D279" s="229" t="str">
        <f t="shared" ref="D279:K279" si="21">IF(D39&gt;0,"Y","N")</f>
        <v>N</v>
      </c>
      <c r="E279" s="229" t="str">
        <f t="shared" si="21"/>
        <v>N</v>
      </c>
      <c r="F279" s="229" t="str">
        <f t="shared" si="21"/>
        <v>N</v>
      </c>
      <c r="G279" s="229" t="str">
        <f t="shared" si="21"/>
        <v>N</v>
      </c>
      <c r="H279" s="229" t="str">
        <f t="shared" si="21"/>
        <v>N</v>
      </c>
      <c r="I279" s="229" t="str">
        <f t="shared" si="21"/>
        <v>Y</v>
      </c>
      <c r="J279" s="360" t="str">
        <f t="shared" si="21"/>
        <v>Y</v>
      </c>
      <c r="K279" s="360" t="str">
        <f t="shared" si="21"/>
        <v>Y</v>
      </c>
    </row>
    <row r="280" spans="1:11">
      <c r="A280" s="358"/>
      <c r="B280" s="227" t="s">
        <v>776</v>
      </c>
      <c r="C280" s="228" t="s">
        <v>227</v>
      </c>
      <c r="D280" s="229" t="str">
        <f t="shared" ref="D280:K281" si="22">IF(D244&gt;50,"Y","N")</f>
        <v>N</v>
      </c>
      <c r="E280" s="229" t="str">
        <f t="shared" si="22"/>
        <v>N</v>
      </c>
      <c r="F280" s="229" t="str">
        <f t="shared" si="22"/>
        <v>N</v>
      </c>
      <c r="G280" s="229" t="str">
        <f t="shared" si="22"/>
        <v>N</v>
      </c>
      <c r="H280" s="229" t="str">
        <f t="shared" si="22"/>
        <v>N</v>
      </c>
      <c r="I280" s="229" t="str">
        <f t="shared" si="22"/>
        <v>N</v>
      </c>
      <c r="J280" s="360" t="str">
        <f t="shared" si="22"/>
        <v>N</v>
      </c>
      <c r="K280" s="360" t="str">
        <f t="shared" si="22"/>
        <v>N</v>
      </c>
    </row>
    <row r="281" spans="1:11">
      <c r="A281" s="362"/>
      <c r="B281" s="227" t="s">
        <v>777</v>
      </c>
      <c r="C281" s="228" t="s">
        <v>227</v>
      </c>
      <c r="D281" s="229" t="str">
        <f t="shared" si="22"/>
        <v>N</v>
      </c>
      <c r="E281" s="229" t="str">
        <f t="shared" si="22"/>
        <v>N</v>
      </c>
      <c r="F281" s="229" t="str">
        <f t="shared" si="22"/>
        <v>N</v>
      </c>
      <c r="G281" s="229" t="str">
        <f t="shared" si="22"/>
        <v>N</v>
      </c>
      <c r="H281" s="229" t="str">
        <f t="shared" si="22"/>
        <v>N</v>
      </c>
      <c r="I281" s="229" t="str">
        <f t="shared" si="22"/>
        <v>Y</v>
      </c>
      <c r="J281" s="360" t="str">
        <f t="shared" si="22"/>
        <v>N</v>
      </c>
      <c r="K281" s="360" t="str">
        <f t="shared" si="22"/>
        <v>N</v>
      </c>
    </row>
    <row r="282" spans="1:11">
      <c r="A282" s="353"/>
      <c r="B282" s="413"/>
      <c r="C282" s="225"/>
      <c r="D282" s="225"/>
      <c r="E282" s="202"/>
      <c r="F282" s="202"/>
      <c r="G282" s="202"/>
      <c r="H282" s="202"/>
      <c r="I282" s="202"/>
      <c r="J282" s="313"/>
      <c r="K282" s="313"/>
    </row>
    <row r="283" spans="1:11">
      <c r="A283" s="354"/>
      <c r="B283" s="410" t="s">
        <v>778</v>
      </c>
      <c r="C283" s="89"/>
      <c r="D283" s="82" t="str">
        <f>'General Info'!D4</f>
        <v>FY 2008-2009</v>
      </c>
      <c r="E283" s="82" t="str">
        <f>'General Info'!E4</f>
        <v>FY 2009-2010</v>
      </c>
      <c r="F283" s="82" t="str">
        <f>'General Info'!F4</f>
        <v>FY 2010-2011</v>
      </c>
      <c r="G283" s="82" t="str">
        <f>'General Info'!G4</f>
        <v>FY 2011-2012</v>
      </c>
      <c r="H283" s="82" t="str">
        <f>'General Info'!H4</f>
        <v>FY 2012-2013</v>
      </c>
      <c r="I283" s="82" t="str">
        <f>'General Info'!I4</f>
        <v>FY 2013-2014</v>
      </c>
      <c r="J283" s="346" t="str">
        <f>'General Info'!J4</f>
        <v>FY 2014-2015</v>
      </c>
      <c r="K283" s="346" t="str">
        <f>'General Info'!K4</f>
        <v>FY 2015-2016</v>
      </c>
    </row>
    <row r="284" spans="1:11">
      <c r="A284" s="355">
        <v>1</v>
      </c>
      <c r="B284" s="416" t="s">
        <v>768</v>
      </c>
      <c r="C284" s="190"/>
      <c r="D284" s="226">
        <f>SUM($D$285:$D$287)</f>
        <v>1</v>
      </c>
      <c r="E284" s="226">
        <f>SUM($E$285:$E$287)</f>
        <v>1</v>
      </c>
      <c r="F284" s="226">
        <f>SUM($F$285:$F$287)</f>
        <v>1</v>
      </c>
      <c r="G284" s="226">
        <f>SUM($G$285:$G$287)</f>
        <v>1</v>
      </c>
      <c r="H284" s="226">
        <f>SUM($H$285:$H$287)</f>
        <v>1</v>
      </c>
      <c r="I284" s="226">
        <f>SUM($I$285:$I$287)</f>
        <v>0</v>
      </c>
      <c r="J284" s="363">
        <f>SUM(J285:J287)</f>
        <v>0</v>
      </c>
      <c r="K284" s="363">
        <f>SUM(K285:K287)</f>
        <v>0</v>
      </c>
    </row>
    <row r="285" spans="1:11">
      <c r="A285" s="358"/>
      <c r="B285" s="417" t="s">
        <v>769</v>
      </c>
      <c r="C285" s="190"/>
      <c r="D285" s="229">
        <f t="shared" ref="D285:K285" si="23">IF(D273="Y",1,0)</f>
        <v>0</v>
      </c>
      <c r="E285" s="229">
        <f t="shared" si="23"/>
        <v>0</v>
      </c>
      <c r="F285" s="229">
        <f t="shared" si="23"/>
        <v>0</v>
      </c>
      <c r="G285" s="229">
        <f t="shared" si="23"/>
        <v>0</v>
      </c>
      <c r="H285" s="229">
        <f t="shared" si="23"/>
        <v>0</v>
      </c>
      <c r="I285" s="229">
        <f t="shared" si="23"/>
        <v>0</v>
      </c>
      <c r="J285" s="360">
        <f t="shared" si="23"/>
        <v>0</v>
      </c>
      <c r="K285" s="360">
        <f t="shared" si="23"/>
        <v>0</v>
      </c>
    </row>
    <row r="286" spans="1:11" ht="25.5">
      <c r="A286" s="358"/>
      <c r="B286" s="417" t="s">
        <v>770</v>
      </c>
      <c r="C286" s="190"/>
      <c r="D286" s="229">
        <f t="shared" ref="D286:K286" si="24">IF(D274="Y",0,1)</f>
        <v>1</v>
      </c>
      <c r="E286" s="229">
        <f t="shared" si="24"/>
        <v>1</v>
      </c>
      <c r="F286" s="229">
        <f t="shared" si="24"/>
        <v>1</v>
      </c>
      <c r="G286" s="229">
        <f t="shared" si="24"/>
        <v>1</v>
      </c>
      <c r="H286" s="229">
        <f t="shared" si="24"/>
        <v>1</v>
      </c>
      <c r="I286" s="229">
        <f t="shared" si="24"/>
        <v>0</v>
      </c>
      <c r="J286" s="360">
        <f t="shared" si="24"/>
        <v>0</v>
      </c>
      <c r="K286" s="360">
        <f t="shared" si="24"/>
        <v>0</v>
      </c>
    </row>
    <row r="287" spans="1:11">
      <c r="A287" s="358"/>
      <c r="B287" s="417" t="s">
        <v>771</v>
      </c>
      <c r="C287" s="190"/>
      <c r="D287" s="229">
        <f t="shared" ref="D287:K287" si="25">IF(D275="Y",1,0)</f>
        <v>0</v>
      </c>
      <c r="E287" s="229">
        <f t="shared" si="25"/>
        <v>0</v>
      </c>
      <c r="F287" s="229">
        <f t="shared" si="25"/>
        <v>0</v>
      </c>
      <c r="G287" s="229">
        <f t="shared" si="25"/>
        <v>0</v>
      </c>
      <c r="H287" s="229">
        <f t="shared" si="25"/>
        <v>0</v>
      </c>
      <c r="I287" s="229">
        <f t="shared" si="25"/>
        <v>0</v>
      </c>
      <c r="J287" s="360">
        <f t="shared" si="25"/>
        <v>0</v>
      </c>
      <c r="K287" s="360">
        <f t="shared" si="25"/>
        <v>0</v>
      </c>
    </row>
    <row r="288" spans="1:11">
      <c r="A288" s="355">
        <v>2</v>
      </c>
      <c r="B288" s="416" t="s">
        <v>772</v>
      </c>
      <c r="C288" s="190"/>
      <c r="D288" s="226">
        <f>SUM($D$289:$D$293)</f>
        <v>0</v>
      </c>
      <c r="E288" s="226">
        <f>SUM($E$289:$E$293)</f>
        <v>0</v>
      </c>
      <c r="F288" s="226">
        <f>SUM($F$289:$F$293)</f>
        <v>0</v>
      </c>
      <c r="G288" s="226">
        <f>SUM($G$289:$G$293)</f>
        <v>0</v>
      </c>
      <c r="H288" s="226">
        <f>SUM($H$289:$H$293)</f>
        <v>0</v>
      </c>
      <c r="I288" s="226">
        <f>SUM($I$289:$I$293)</f>
        <v>3</v>
      </c>
      <c r="J288" s="363">
        <f>SUM(J289:J293)</f>
        <v>2</v>
      </c>
      <c r="K288" s="363">
        <f>SUM(K289:K293)</f>
        <v>2</v>
      </c>
    </row>
    <row r="289" spans="1:11" ht="25.5">
      <c r="A289" s="358"/>
      <c r="B289" s="417" t="s">
        <v>773</v>
      </c>
      <c r="C289" s="190"/>
      <c r="D289" s="229">
        <f t="shared" ref="D289:K293" si="26">IF(D277="Y",1,0)</f>
        <v>0</v>
      </c>
      <c r="E289" s="229">
        <f t="shared" si="26"/>
        <v>0</v>
      </c>
      <c r="F289" s="229">
        <f t="shared" si="26"/>
        <v>0</v>
      </c>
      <c r="G289" s="229">
        <f t="shared" si="26"/>
        <v>0</v>
      </c>
      <c r="H289" s="229">
        <f t="shared" si="26"/>
        <v>0</v>
      </c>
      <c r="I289" s="229">
        <f t="shared" si="26"/>
        <v>0</v>
      </c>
      <c r="J289" s="360">
        <f t="shared" si="26"/>
        <v>0</v>
      </c>
      <c r="K289" s="360">
        <f t="shared" si="26"/>
        <v>0</v>
      </c>
    </row>
    <row r="290" spans="1:11">
      <c r="A290" s="358"/>
      <c r="B290" s="417" t="s">
        <v>774</v>
      </c>
      <c r="C290" s="190"/>
      <c r="D290" s="229">
        <f t="shared" si="26"/>
        <v>0</v>
      </c>
      <c r="E290" s="229">
        <f t="shared" si="26"/>
        <v>0</v>
      </c>
      <c r="F290" s="229">
        <f t="shared" si="26"/>
        <v>0</v>
      </c>
      <c r="G290" s="229">
        <f t="shared" si="26"/>
        <v>0</v>
      </c>
      <c r="H290" s="229">
        <f t="shared" si="26"/>
        <v>0</v>
      </c>
      <c r="I290" s="229">
        <f t="shared" si="26"/>
        <v>1</v>
      </c>
      <c r="J290" s="360">
        <f t="shared" si="26"/>
        <v>1</v>
      </c>
      <c r="K290" s="360">
        <f t="shared" si="26"/>
        <v>1</v>
      </c>
    </row>
    <row r="291" spans="1:11">
      <c r="A291" s="358"/>
      <c r="B291" s="417" t="s">
        <v>775</v>
      </c>
      <c r="C291" s="190"/>
      <c r="D291" s="229">
        <f t="shared" si="26"/>
        <v>0</v>
      </c>
      <c r="E291" s="229">
        <f t="shared" si="26"/>
        <v>0</v>
      </c>
      <c r="F291" s="229">
        <f t="shared" si="26"/>
        <v>0</v>
      </c>
      <c r="G291" s="229">
        <f t="shared" si="26"/>
        <v>0</v>
      </c>
      <c r="H291" s="229">
        <f t="shared" si="26"/>
        <v>0</v>
      </c>
      <c r="I291" s="229">
        <f t="shared" si="26"/>
        <v>1</v>
      </c>
      <c r="J291" s="360">
        <f t="shared" si="26"/>
        <v>1</v>
      </c>
      <c r="K291" s="360">
        <f t="shared" si="26"/>
        <v>1</v>
      </c>
    </row>
    <row r="292" spans="1:11">
      <c r="A292" s="358"/>
      <c r="B292" s="417" t="s">
        <v>776</v>
      </c>
      <c r="C292" s="190"/>
      <c r="D292" s="229">
        <f t="shared" si="26"/>
        <v>0</v>
      </c>
      <c r="E292" s="229">
        <f t="shared" si="26"/>
        <v>0</v>
      </c>
      <c r="F292" s="229">
        <f t="shared" si="26"/>
        <v>0</v>
      </c>
      <c r="G292" s="229">
        <f t="shared" si="26"/>
        <v>0</v>
      </c>
      <c r="H292" s="229">
        <f t="shared" si="26"/>
        <v>0</v>
      </c>
      <c r="I292" s="229">
        <f t="shared" si="26"/>
        <v>0</v>
      </c>
      <c r="J292" s="360">
        <f t="shared" si="26"/>
        <v>0</v>
      </c>
      <c r="K292" s="360">
        <f t="shared" si="26"/>
        <v>0</v>
      </c>
    </row>
    <row r="293" spans="1:11">
      <c r="A293" s="358"/>
      <c r="B293" s="417" t="s">
        <v>777</v>
      </c>
      <c r="C293" s="190"/>
      <c r="D293" s="229">
        <f t="shared" si="26"/>
        <v>0</v>
      </c>
      <c r="E293" s="229">
        <f t="shared" si="26"/>
        <v>0</v>
      </c>
      <c r="F293" s="229">
        <f t="shared" si="26"/>
        <v>0</v>
      </c>
      <c r="G293" s="229">
        <f t="shared" si="26"/>
        <v>0</v>
      </c>
      <c r="H293" s="229">
        <f t="shared" si="26"/>
        <v>0</v>
      </c>
      <c r="I293" s="229">
        <f t="shared" si="26"/>
        <v>1</v>
      </c>
      <c r="J293" s="360">
        <f t="shared" si="26"/>
        <v>0</v>
      </c>
      <c r="K293" s="360">
        <f t="shared" si="26"/>
        <v>0</v>
      </c>
    </row>
    <row r="294" spans="1:11">
      <c r="A294" s="364"/>
      <c r="B294" s="418" t="s">
        <v>778</v>
      </c>
      <c r="C294" s="365"/>
      <c r="D294" s="366">
        <f t="shared" ref="D294:K294" si="27">D284+D288</f>
        <v>1</v>
      </c>
      <c r="E294" s="366">
        <f t="shared" si="27"/>
        <v>1</v>
      </c>
      <c r="F294" s="366">
        <f t="shared" si="27"/>
        <v>1</v>
      </c>
      <c r="G294" s="366">
        <f t="shared" si="27"/>
        <v>1</v>
      </c>
      <c r="H294" s="366">
        <f t="shared" si="27"/>
        <v>1</v>
      </c>
      <c r="I294" s="366">
        <f t="shared" si="27"/>
        <v>3</v>
      </c>
      <c r="J294" s="367">
        <f t="shared" si="27"/>
        <v>2</v>
      </c>
      <c r="K294" s="367">
        <f t="shared" si="27"/>
        <v>2</v>
      </c>
    </row>
  </sheetData>
  <mergeCells count="14">
    <mergeCell ref="A192:E192"/>
    <mergeCell ref="A57:E57"/>
    <mergeCell ref="A70:E70"/>
    <mergeCell ref="A76:E76"/>
    <mergeCell ref="A82:E82"/>
    <mergeCell ref="A95:E95"/>
    <mergeCell ref="A172:E172"/>
    <mergeCell ref="B162:K162"/>
    <mergeCell ref="B5:E5"/>
    <mergeCell ref="A47:E47"/>
    <mergeCell ref="B48:E48"/>
    <mergeCell ref="A1:K1"/>
    <mergeCell ref="A2:K2"/>
    <mergeCell ref="A3:K3"/>
  </mergeCells>
  <pageMargins left="0.26" right="0.17" top="0.75" bottom="0.75" header="0.51180555555555596" footer="0.51180555555555596"/>
  <pageSetup scale="55" firstPageNumber="0" orientation="portrait" horizontalDpi="300" verticalDpi="300" r:id="rId1"/>
  <headerFooter alignWithMargins="0"/>
  <rowBreaks count="4" manualBreakCount="4">
    <brk id="45" max="16383" man="1"/>
    <brk id="93" max="16383" man="1"/>
    <brk id="171" max="16383" man="1"/>
    <brk id="2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J199"/>
  <sheetViews>
    <sheetView tabSelected="1" topLeftCell="A97" workbookViewId="0">
      <selection sqref="A1:J1"/>
    </sheetView>
  </sheetViews>
  <sheetFormatPr defaultRowHeight="12.75"/>
  <cols>
    <col min="1" max="1" width="9.140625" style="1" bestFit="1" customWidth="1"/>
    <col min="2" max="2" width="69.42578125" style="281" bestFit="1" customWidth="1"/>
    <col min="3" max="3" width="40.140625" style="281" bestFit="1" customWidth="1"/>
    <col min="4" max="10" width="10.42578125" style="1" bestFit="1" customWidth="1"/>
    <col min="11" max="11" width="9.140625" style="1" bestFit="1"/>
    <col min="12" max="16384" width="9.140625" style="1"/>
  </cols>
  <sheetData>
    <row r="1" spans="1:10" ht="15.75">
      <c r="A1" s="426" t="s">
        <v>0</v>
      </c>
      <c r="B1" s="427"/>
      <c r="C1" s="427"/>
      <c r="D1" s="427"/>
      <c r="E1" s="427"/>
      <c r="F1" s="427"/>
      <c r="G1" s="427"/>
      <c r="H1" s="427"/>
      <c r="I1" s="427"/>
      <c r="J1" s="427"/>
    </row>
    <row r="2" spans="1:10" ht="15.75">
      <c r="A2" s="426"/>
      <c r="B2" s="426"/>
      <c r="C2" s="426"/>
      <c r="D2" s="426"/>
      <c r="E2" s="28"/>
      <c r="F2" s="28"/>
      <c r="G2" s="28"/>
      <c r="H2" s="28"/>
      <c r="I2" s="28"/>
      <c r="J2" s="28"/>
    </row>
    <row r="3" spans="1:10" ht="15.75">
      <c r="A3" s="475" t="s">
        <v>779</v>
      </c>
      <c r="B3" s="476"/>
      <c r="C3" s="476"/>
      <c r="D3" s="476"/>
      <c r="E3" s="476"/>
      <c r="F3" s="476"/>
      <c r="G3" s="476"/>
      <c r="H3" s="476"/>
      <c r="I3" s="476"/>
      <c r="J3" s="476"/>
    </row>
    <row r="4" spans="1:10">
      <c r="A4" s="231"/>
      <c r="B4" s="382"/>
      <c r="C4" s="383"/>
      <c r="D4" s="232" t="str">
        <f>'General Info'!E4</f>
        <v>FY 2009-2010</v>
      </c>
      <c r="E4" s="232" t="str">
        <f>'General Info'!F4</f>
        <v>FY 2010-2011</v>
      </c>
      <c r="F4" s="232" t="str">
        <f>'General Info'!G4</f>
        <v>FY 2011-2012</v>
      </c>
      <c r="G4" s="233" t="str">
        <f>'General Info'!H4</f>
        <v>FY 2012-2013</v>
      </c>
      <c r="H4" s="233" t="str">
        <f>'General Info'!I4</f>
        <v>FY 2013-2014</v>
      </c>
      <c r="I4" s="233" t="str">
        <f>'General Info'!J4</f>
        <v>FY 2014-2015</v>
      </c>
      <c r="J4" s="233" t="str">
        <f>'General Info'!K4</f>
        <v>FY 2015-2016</v>
      </c>
    </row>
    <row r="5" spans="1:10">
      <c r="A5" s="234" t="s">
        <v>780</v>
      </c>
      <c r="B5" s="235" t="s">
        <v>781</v>
      </c>
      <c r="C5" s="236"/>
      <c r="D5" s="237" t="s">
        <v>227</v>
      </c>
      <c r="E5" s="237" t="s">
        <v>227</v>
      </c>
      <c r="F5" s="237" t="s">
        <v>227</v>
      </c>
      <c r="G5" s="238" t="s">
        <v>227</v>
      </c>
      <c r="H5" s="238" t="s">
        <v>227</v>
      </c>
      <c r="I5" s="238" t="s">
        <v>227</v>
      </c>
      <c r="J5" s="238" t="s">
        <v>227</v>
      </c>
    </row>
    <row r="6" spans="1:10">
      <c r="A6" s="239">
        <v>1</v>
      </c>
      <c r="B6" s="454" t="s">
        <v>753</v>
      </c>
      <c r="C6" s="454"/>
      <c r="D6" s="454"/>
      <c r="E6" s="240"/>
      <c r="F6" s="240"/>
      <c r="G6" s="240"/>
      <c r="H6" s="240"/>
      <c r="I6" s="240"/>
      <c r="J6" s="240"/>
    </row>
    <row r="7" spans="1:10">
      <c r="A7" s="241"/>
      <c r="B7" s="242" t="s">
        <v>782</v>
      </c>
      <c r="C7" s="242"/>
      <c r="D7" s="242"/>
      <c r="E7" s="242"/>
      <c r="F7" s="243"/>
      <c r="G7" s="244"/>
      <c r="H7" s="244"/>
      <c r="I7" s="244"/>
      <c r="J7" s="244"/>
    </row>
    <row r="8" spans="1:10">
      <c r="A8" s="245"/>
      <c r="B8" s="455" t="s">
        <v>783</v>
      </c>
      <c r="C8" s="246" t="s">
        <v>784</v>
      </c>
      <c r="D8" s="247"/>
      <c r="E8" s="247"/>
      <c r="F8" s="247"/>
      <c r="G8" s="248"/>
      <c r="H8" s="248"/>
      <c r="I8" s="422" t="s">
        <v>966</v>
      </c>
      <c r="J8" s="422" t="s">
        <v>966</v>
      </c>
    </row>
    <row r="9" spans="1:10">
      <c r="A9" s="245"/>
      <c r="B9" s="455"/>
      <c r="C9" s="249" t="s">
        <v>785</v>
      </c>
      <c r="D9" s="247"/>
      <c r="E9" s="247"/>
      <c r="F9" s="247"/>
      <c r="G9" s="248"/>
      <c r="H9" s="248"/>
      <c r="I9" s="422" t="s">
        <v>966</v>
      </c>
      <c r="J9" s="422" t="s">
        <v>966</v>
      </c>
    </row>
    <row r="10" spans="1:10">
      <c r="A10" s="245"/>
      <c r="B10" s="455"/>
      <c r="C10" s="246" t="s">
        <v>786</v>
      </c>
      <c r="D10" s="247"/>
      <c r="E10" s="247"/>
      <c r="F10" s="247"/>
      <c r="G10" s="248"/>
      <c r="H10" s="248"/>
      <c r="I10" s="422" t="s">
        <v>966</v>
      </c>
      <c r="J10" s="422" t="s">
        <v>966</v>
      </c>
    </row>
    <row r="11" spans="1:10">
      <c r="A11" s="245"/>
      <c r="B11" s="455"/>
      <c r="C11" s="249" t="s">
        <v>787</v>
      </c>
      <c r="D11" s="247"/>
      <c r="E11" s="247"/>
      <c r="F11" s="247"/>
      <c r="G11" s="248"/>
      <c r="H11" s="248"/>
      <c r="I11" s="422" t="s">
        <v>966</v>
      </c>
      <c r="J11" s="422" t="s">
        <v>966</v>
      </c>
    </row>
    <row r="12" spans="1:10">
      <c r="A12" s="245"/>
      <c r="B12" s="455"/>
      <c r="C12" s="246" t="s">
        <v>788</v>
      </c>
      <c r="D12" s="247"/>
      <c r="E12" s="247"/>
      <c r="F12" s="247"/>
      <c r="G12" s="248"/>
      <c r="H12" s="248"/>
      <c r="I12" s="422" t="s">
        <v>967</v>
      </c>
      <c r="J12" s="422" t="s">
        <v>967</v>
      </c>
    </row>
    <row r="13" spans="1:10">
      <c r="A13" s="245"/>
      <c r="B13" s="455"/>
      <c r="C13" s="249" t="s">
        <v>789</v>
      </c>
      <c r="D13" s="247"/>
      <c r="E13" s="247"/>
      <c r="F13" s="247"/>
      <c r="G13" s="248"/>
      <c r="H13" s="248"/>
      <c r="I13" s="422" t="s">
        <v>967</v>
      </c>
      <c r="J13" s="422" t="s">
        <v>967</v>
      </c>
    </row>
    <row r="14" spans="1:10">
      <c r="A14" s="245"/>
      <c r="B14" s="455" t="s">
        <v>790</v>
      </c>
      <c r="C14" s="246" t="s">
        <v>791</v>
      </c>
      <c r="D14" s="247"/>
      <c r="E14" s="247"/>
      <c r="F14" s="247"/>
      <c r="G14" s="248"/>
      <c r="H14" s="248"/>
      <c r="I14" s="422" t="s">
        <v>966</v>
      </c>
      <c r="J14" s="422" t="s">
        <v>966</v>
      </c>
    </row>
    <row r="15" spans="1:10">
      <c r="A15" s="245"/>
      <c r="B15" s="455"/>
      <c r="C15" s="249" t="s">
        <v>792</v>
      </c>
      <c r="D15" s="247"/>
      <c r="E15" s="247"/>
      <c r="F15" s="247"/>
      <c r="G15" s="248"/>
      <c r="H15" s="248"/>
      <c r="I15" s="422" t="s">
        <v>966</v>
      </c>
      <c r="J15" s="422" t="s">
        <v>966</v>
      </c>
    </row>
    <row r="16" spans="1:10">
      <c r="A16" s="245"/>
      <c r="B16" s="455"/>
      <c r="C16" s="246" t="s">
        <v>793</v>
      </c>
      <c r="D16" s="247"/>
      <c r="E16" s="247"/>
      <c r="F16" s="247"/>
      <c r="G16" s="248"/>
      <c r="H16" s="248"/>
      <c r="I16" s="422" t="s">
        <v>967</v>
      </c>
      <c r="J16" s="422" t="s">
        <v>967</v>
      </c>
    </row>
    <row r="17" spans="1:10">
      <c r="A17" s="245"/>
      <c r="B17" s="455" t="s">
        <v>794</v>
      </c>
      <c r="C17" s="246" t="s">
        <v>795</v>
      </c>
      <c r="D17" s="247"/>
      <c r="E17" s="247"/>
      <c r="F17" s="247"/>
      <c r="G17" s="248"/>
      <c r="H17" s="248"/>
      <c r="I17" s="422" t="s">
        <v>961</v>
      </c>
      <c r="J17" s="422" t="s">
        <v>961</v>
      </c>
    </row>
    <row r="18" spans="1:10">
      <c r="A18" s="245"/>
      <c r="B18" s="455"/>
      <c r="C18" s="249" t="s">
        <v>792</v>
      </c>
      <c r="D18" s="247"/>
      <c r="E18" s="247"/>
      <c r="F18" s="247"/>
      <c r="G18" s="248"/>
      <c r="H18" s="248"/>
      <c r="I18" s="422" t="s">
        <v>961</v>
      </c>
      <c r="J18" s="422" t="s">
        <v>961</v>
      </c>
    </row>
    <row r="19" spans="1:10">
      <c r="A19" s="245"/>
      <c r="B19" s="455"/>
      <c r="C19" s="246" t="s">
        <v>796</v>
      </c>
      <c r="D19" s="247"/>
      <c r="E19" s="247"/>
      <c r="F19" s="247"/>
      <c r="G19" s="248"/>
      <c r="H19" s="248"/>
      <c r="I19" s="422" t="s">
        <v>961</v>
      </c>
      <c r="J19" s="422" t="s">
        <v>961</v>
      </c>
    </row>
    <row r="20" spans="1:10">
      <c r="A20" s="245"/>
      <c r="B20" s="455"/>
      <c r="C20" s="249" t="s">
        <v>787</v>
      </c>
      <c r="D20" s="247"/>
      <c r="E20" s="247"/>
      <c r="F20" s="247"/>
      <c r="G20" s="248"/>
      <c r="H20" s="248"/>
      <c r="I20" s="422" t="s">
        <v>961</v>
      </c>
      <c r="J20" s="422" t="s">
        <v>961</v>
      </c>
    </row>
    <row r="21" spans="1:10">
      <c r="A21" s="245"/>
      <c r="B21" s="455"/>
      <c r="C21" s="246" t="s">
        <v>797</v>
      </c>
      <c r="D21" s="247"/>
      <c r="E21" s="247"/>
      <c r="F21" s="247"/>
      <c r="G21" s="248"/>
      <c r="H21" s="248"/>
      <c r="I21" s="422" t="s">
        <v>961</v>
      </c>
      <c r="J21" s="422" t="s">
        <v>961</v>
      </c>
    </row>
    <row r="22" spans="1:10">
      <c r="A22" s="245"/>
      <c r="B22" s="455"/>
      <c r="C22" s="249" t="s">
        <v>798</v>
      </c>
      <c r="D22" s="247"/>
      <c r="E22" s="247"/>
      <c r="F22" s="247"/>
      <c r="G22" s="248"/>
      <c r="H22" s="248"/>
      <c r="I22" s="422" t="s">
        <v>961</v>
      </c>
      <c r="J22" s="422" t="s">
        <v>961</v>
      </c>
    </row>
    <row r="23" spans="1:10">
      <c r="A23" s="245"/>
      <c r="B23" s="455" t="s">
        <v>799</v>
      </c>
      <c r="C23" s="249" t="s">
        <v>791</v>
      </c>
      <c r="D23" s="247"/>
      <c r="E23" s="247"/>
      <c r="F23" s="247"/>
      <c r="G23" s="248"/>
      <c r="H23" s="248"/>
      <c r="I23" s="422" t="s">
        <v>208</v>
      </c>
      <c r="J23" s="422" t="s">
        <v>208</v>
      </c>
    </row>
    <row r="24" spans="1:10" ht="25.5">
      <c r="A24" s="245"/>
      <c r="B24" s="455"/>
      <c r="C24" s="384" t="s">
        <v>800</v>
      </c>
      <c r="D24" s="247"/>
      <c r="E24" s="247"/>
      <c r="F24" s="247"/>
      <c r="G24" s="248"/>
      <c r="H24" s="248"/>
      <c r="I24" s="422" t="s">
        <v>208</v>
      </c>
      <c r="J24" s="422" t="s">
        <v>208</v>
      </c>
    </row>
    <row r="25" spans="1:10">
      <c r="A25" s="245"/>
      <c r="B25" s="455"/>
      <c r="C25" s="249" t="s">
        <v>801</v>
      </c>
      <c r="D25" s="247"/>
      <c r="E25" s="247"/>
      <c r="F25" s="247"/>
      <c r="G25" s="248"/>
      <c r="H25" s="248"/>
      <c r="I25" s="422" t="s">
        <v>208</v>
      </c>
      <c r="J25" s="422" t="s">
        <v>208</v>
      </c>
    </row>
    <row r="26" spans="1:10">
      <c r="A26" s="245"/>
      <c r="B26" s="455"/>
      <c r="C26" s="249" t="s">
        <v>802</v>
      </c>
      <c r="D26" s="247"/>
      <c r="E26" s="247"/>
      <c r="F26" s="247"/>
      <c r="G26" s="248"/>
      <c r="H26" s="248"/>
      <c r="I26" s="422" t="s">
        <v>208</v>
      </c>
      <c r="J26" s="422" t="s">
        <v>208</v>
      </c>
    </row>
    <row r="27" spans="1:10">
      <c r="A27" s="245"/>
      <c r="B27" s="455" t="s">
        <v>803</v>
      </c>
      <c r="C27" s="246" t="s">
        <v>791</v>
      </c>
      <c r="D27" s="247"/>
      <c r="E27" s="247"/>
      <c r="F27" s="247"/>
      <c r="G27" s="248"/>
      <c r="H27" s="248"/>
      <c r="I27" s="422" t="s">
        <v>967</v>
      </c>
      <c r="J27" s="422" t="s">
        <v>967</v>
      </c>
    </row>
    <row r="28" spans="1:10">
      <c r="A28" s="245"/>
      <c r="B28" s="455"/>
      <c r="C28" s="249" t="s">
        <v>804</v>
      </c>
      <c r="D28" s="247"/>
      <c r="E28" s="247"/>
      <c r="F28" s="247"/>
      <c r="G28" s="248"/>
      <c r="H28" s="248"/>
      <c r="I28" s="422" t="s">
        <v>966</v>
      </c>
      <c r="J28" s="422" t="s">
        <v>966</v>
      </c>
    </row>
    <row r="29" spans="1:10">
      <c r="A29" s="245"/>
      <c r="B29" s="455"/>
      <c r="C29" s="246" t="s">
        <v>805</v>
      </c>
      <c r="D29" s="247"/>
      <c r="E29" s="247"/>
      <c r="F29" s="247"/>
      <c r="G29" s="248"/>
      <c r="H29" s="248"/>
      <c r="I29" s="422" t="s">
        <v>966</v>
      </c>
      <c r="J29" s="422" t="s">
        <v>967</v>
      </c>
    </row>
    <row r="30" spans="1:10">
      <c r="A30" s="245"/>
      <c r="B30" s="456" t="s">
        <v>806</v>
      </c>
      <c r="C30" s="246" t="s">
        <v>807</v>
      </c>
      <c r="D30" s="247"/>
      <c r="E30" s="247"/>
      <c r="F30" s="247"/>
      <c r="G30" s="248"/>
      <c r="H30" s="248"/>
      <c r="I30" s="422" t="s">
        <v>967</v>
      </c>
      <c r="J30" s="422" t="s">
        <v>967</v>
      </c>
    </row>
    <row r="31" spans="1:10">
      <c r="A31" s="245"/>
      <c r="B31" s="456"/>
      <c r="C31" s="246" t="s">
        <v>808</v>
      </c>
      <c r="D31" s="247"/>
      <c r="E31" s="247"/>
      <c r="F31" s="247"/>
      <c r="G31" s="248"/>
      <c r="H31" s="248"/>
      <c r="I31" s="422" t="s">
        <v>966</v>
      </c>
      <c r="J31" s="422" t="s">
        <v>966</v>
      </c>
    </row>
    <row r="32" spans="1:10" ht="15.75" customHeight="1">
      <c r="A32" s="245"/>
      <c r="B32" s="457" t="s">
        <v>809</v>
      </c>
      <c r="C32" s="457"/>
      <c r="D32" s="250"/>
      <c r="E32" s="250"/>
      <c r="F32" s="100"/>
      <c r="G32" s="251"/>
      <c r="H32" s="251"/>
      <c r="I32" s="251"/>
      <c r="J32" s="251"/>
    </row>
    <row r="33" spans="1:10">
      <c r="A33" s="245"/>
      <c r="B33" s="455" t="s">
        <v>810</v>
      </c>
      <c r="C33" s="246" t="s">
        <v>807</v>
      </c>
      <c r="D33" s="247"/>
      <c r="E33" s="247"/>
      <c r="F33" s="247"/>
      <c r="G33" s="248"/>
      <c r="H33" s="248"/>
      <c r="I33" s="422" t="s">
        <v>967</v>
      </c>
      <c r="J33" s="422" t="s">
        <v>967</v>
      </c>
    </row>
    <row r="34" spans="1:10">
      <c r="A34" s="245"/>
      <c r="B34" s="455"/>
      <c r="C34" s="246" t="s">
        <v>808</v>
      </c>
      <c r="D34" s="247"/>
      <c r="E34" s="247"/>
      <c r="F34" s="247"/>
      <c r="G34" s="248"/>
      <c r="H34" s="248"/>
      <c r="I34" s="422" t="s">
        <v>966</v>
      </c>
      <c r="J34" s="422" t="s">
        <v>966</v>
      </c>
    </row>
    <row r="35" spans="1:10">
      <c r="A35" s="245"/>
      <c r="B35" s="455" t="s">
        <v>811</v>
      </c>
      <c r="C35" s="246" t="s">
        <v>807</v>
      </c>
      <c r="D35" s="247"/>
      <c r="E35" s="247"/>
      <c r="F35" s="247"/>
      <c r="G35" s="248"/>
      <c r="H35" s="248"/>
      <c r="I35" s="422" t="s">
        <v>967</v>
      </c>
      <c r="J35" s="422" t="s">
        <v>967</v>
      </c>
    </row>
    <row r="36" spans="1:10">
      <c r="A36" s="245"/>
      <c r="B36" s="455"/>
      <c r="C36" s="246" t="s">
        <v>808</v>
      </c>
      <c r="D36" s="247"/>
      <c r="E36" s="247"/>
      <c r="F36" s="247"/>
      <c r="G36" s="248"/>
      <c r="H36" s="248"/>
      <c r="I36" s="422" t="s">
        <v>967</v>
      </c>
      <c r="J36" s="422" t="s">
        <v>967</v>
      </c>
    </row>
    <row r="37" spans="1:10">
      <c r="A37" s="245"/>
      <c r="B37" s="455" t="s">
        <v>812</v>
      </c>
      <c r="C37" s="246" t="s">
        <v>807</v>
      </c>
      <c r="D37" s="247"/>
      <c r="E37" s="247"/>
      <c r="F37" s="247"/>
      <c r="G37" s="248"/>
      <c r="H37" s="248"/>
      <c r="I37" s="422" t="s">
        <v>208</v>
      </c>
      <c r="J37" s="422" t="s">
        <v>208</v>
      </c>
    </row>
    <row r="38" spans="1:10">
      <c r="A38" s="245"/>
      <c r="B38" s="455"/>
      <c r="C38" s="246" t="s">
        <v>808</v>
      </c>
      <c r="D38" s="247"/>
      <c r="E38" s="247"/>
      <c r="F38" s="247"/>
      <c r="G38" s="248"/>
      <c r="H38" s="248"/>
      <c r="I38" s="422" t="s">
        <v>208</v>
      </c>
      <c r="J38" s="422" t="s">
        <v>208</v>
      </c>
    </row>
    <row r="39" spans="1:10">
      <c r="A39" s="245"/>
      <c r="B39" s="455" t="s">
        <v>813</v>
      </c>
      <c r="C39" s="246" t="s">
        <v>807</v>
      </c>
      <c r="D39" s="247"/>
      <c r="E39" s="247"/>
      <c r="F39" s="247"/>
      <c r="G39" s="248"/>
      <c r="H39" s="248"/>
      <c r="I39" s="422" t="s">
        <v>967</v>
      </c>
      <c r="J39" s="422" t="s">
        <v>967</v>
      </c>
    </row>
    <row r="40" spans="1:10">
      <c r="A40" s="245"/>
      <c r="B40" s="455"/>
      <c r="C40" s="246" t="s">
        <v>808</v>
      </c>
      <c r="D40" s="247"/>
      <c r="E40" s="247"/>
      <c r="F40" s="247"/>
      <c r="G40" s="248"/>
      <c r="H40" s="248"/>
      <c r="I40" s="422" t="s">
        <v>966</v>
      </c>
      <c r="J40" s="422" t="s">
        <v>966</v>
      </c>
    </row>
    <row r="41" spans="1:10" ht="12.75" customHeight="1">
      <c r="A41" s="245"/>
      <c r="B41" s="457" t="s">
        <v>814</v>
      </c>
      <c r="C41" s="457"/>
      <c r="D41" s="252"/>
      <c r="E41" s="252"/>
      <c r="F41" s="252"/>
      <c r="G41" s="253"/>
      <c r="H41" s="253"/>
      <c r="I41" s="253"/>
      <c r="J41" s="253"/>
    </row>
    <row r="42" spans="1:10">
      <c r="A42" s="245"/>
      <c r="B42" s="455" t="s">
        <v>570</v>
      </c>
      <c r="C42" s="246" t="s">
        <v>807</v>
      </c>
      <c r="D42" s="247"/>
      <c r="E42" s="247"/>
      <c r="F42" s="247"/>
      <c r="G42" s="248"/>
      <c r="H42" s="248"/>
      <c r="I42" s="422" t="s">
        <v>967</v>
      </c>
      <c r="J42" s="422" t="s">
        <v>967</v>
      </c>
    </row>
    <row r="43" spans="1:10">
      <c r="A43" s="245"/>
      <c r="B43" s="455"/>
      <c r="C43" s="246" t="s">
        <v>808</v>
      </c>
      <c r="D43" s="247"/>
      <c r="E43" s="247"/>
      <c r="F43" s="247"/>
      <c r="G43" s="248"/>
      <c r="H43" s="248"/>
      <c r="I43" s="422" t="s">
        <v>966</v>
      </c>
      <c r="J43" s="422" t="s">
        <v>966</v>
      </c>
    </row>
    <row r="44" spans="1:10">
      <c r="A44" s="245"/>
      <c r="B44" s="455" t="s">
        <v>811</v>
      </c>
      <c r="C44" s="246" t="s">
        <v>807</v>
      </c>
      <c r="D44" s="247"/>
      <c r="E44" s="247"/>
      <c r="F44" s="247"/>
      <c r="G44" s="248"/>
      <c r="H44" s="248"/>
      <c r="I44" s="422" t="s">
        <v>961</v>
      </c>
      <c r="J44" s="422" t="s">
        <v>961</v>
      </c>
    </row>
    <row r="45" spans="1:10">
      <c r="A45" s="245"/>
      <c r="B45" s="455"/>
      <c r="C45" s="246" t="s">
        <v>808</v>
      </c>
      <c r="D45" s="247"/>
      <c r="E45" s="247"/>
      <c r="F45" s="247"/>
      <c r="G45" s="248"/>
      <c r="H45" s="248"/>
      <c r="I45" s="422" t="s">
        <v>961</v>
      </c>
      <c r="J45" s="422" t="s">
        <v>961</v>
      </c>
    </row>
    <row r="46" spans="1:10" ht="15.75" customHeight="1">
      <c r="A46" s="245"/>
      <c r="B46" s="457" t="s">
        <v>815</v>
      </c>
      <c r="C46" s="457"/>
      <c r="D46" s="250"/>
      <c r="E46" s="250"/>
      <c r="F46" s="100"/>
      <c r="G46" s="251"/>
      <c r="H46" s="251"/>
      <c r="I46" s="251"/>
      <c r="J46" s="251"/>
    </row>
    <row r="47" spans="1:10">
      <c r="A47" s="245"/>
      <c r="B47" s="458" t="s">
        <v>816</v>
      </c>
      <c r="C47" s="246" t="s">
        <v>817</v>
      </c>
      <c r="D47" s="247"/>
      <c r="E47" s="247"/>
      <c r="F47" s="247"/>
      <c r="G47" s="248"/>
      <c r="H47" s="248"/>
      <c r="I47" s="422" t="s">
        <v>966</v>
      </c>
      <c r="J47" s="422" t="s">
        <v>966</v>
      </c>
    </row>
    <row r="48" spans="1:10">
      <c r="A48" s="245"/>
      <c r="B48" s="458"/>
      <c r="C48" s="246" t="s">
        <v>818</v>
      </c>
      <c r="D48" s="247"/>
      <c r="E48" s="247"/>
      <c r="F48" s="247"/>
      <c r="G48" s="248"/>
      <c r="H48" s="248"/>
      <c r="I48" s="422" t="s">
        <v>967</v>
      </c>
      <c r="J48" s="422" t="s">
        <v>967</v>
      </c>
    </row>
    <row r="49" spans="1:10">
      <c r="A49" s="245"/>
      <c r="B49" s="458" t="s">
        <v>819</v>
      </c>
      <c r="C49" s="246" t="s">
        <v>820</v>
      </c>
      <c r="D49" s="247"/>
      <c r="E49" s="247"/>
      <c r="F49" s="247"/>
      <c r="G49" s="248"/>
      <c r="H49" s="248"/>
      <c r="I49" s="422" t="s">
        <v>966</v>
      </c>
      <c r="J49" s="422" t="s">
        <v>966</v>
      </c>
    </row>
    <row r="50" spans="1:10">
      <c r="A50" s="245"/>
      <c r="B50" s="458"/>
      <c r="C50" s="246" t="s">
        <v>821</v>
      </c>
      <c r="D50" s="247"/>
      <c r="E50" s="247"/>
      <c r="F50" s="247"/>
      <c r="G50" s="248"/>
      <c r="H50" s="248"/>
      <c r="I50" s="422" t="s">
        <v>966</v>
      </c>
      <c r="J50" s="422" t="s">
        <v>966</v>
      </c>
    </row>
    <row r="51" spans="1:10" ht="12.75" customHeight="1">
      <c r="A51" s="254">
        <v>2</v>
      </c>
      <c r="B51" s="459" t="s">
        <v>822</v>
      </c>
      <c r="C51" s="459"/>
      <c r="D51" s="459"/>
      <c r="E51" s="255"/>
      <c r="F51" s="255"/>
      <c r="G51" s="256"/>
      <c r="H51" s="256"/>
      <c r="I51" s="256"/>
      <c r="J51" s="256"/>
    </row>
    <row r="52" spans="1:10">
      <c r="A52" s="245"/>
      <c r="B52" s="458" t="s">
        <v>823</v>
      </c>
      <c r="C52" s="246" t="s">
        <v>824</v>
      </c>
      <c r="D52" s="247"/>
      <c r="E52" s="247"/>
      <c r="F52" s="247"/>
      <c r="G52" s="248"/>
      <c r="H52" s="248"/>
      <c r="I52" s="422" t="s">
        <v>966</v>
      </c>
      <c r="J52" s="422" t="s">
        <v>966</v>
      </c>
    </row>
    <row r="53" spans="1:10">
      <c r="A53" s="245"/>
      <c r="B53" s="458"/>
      <c r="C53" s="246" t="s">
        <v>825</v>
      </c>
      <c r="D53" s="247"/>
      <c r="E53" s="247"/>
      <c r="F53" s="247"/>
      <c r="G53" s="248"/>
      <c r="H53" s="248"/>
      <c r="I53" s="422" t="s">
        <v>967</v>
      </c>
      <c r="J53" s="422" t="s">
        <v>967</v>
      </c>
    </row>
    <row r="54" spans="1:10">
      <c r="A54" s="245"/>
      <c r="B54" s="458" t="s">
        <v>826</v>
      </c>
      <c r="C54" s="246" t="s">
        <v>824</v>
      </c>
      <c r="D54" s="247"/>
      <c r="E54" s="247"/>
      <c r="F54" s="247"/>
      <c r="G54" s="248"/>
      <c r="H54" s="248"/>
      <c r="I54" s="422" t="s">
        <v>966</v>
      </c>
      <c r="J54" s="422" t="s">
        <v>966</v>
      </c>
    </row>
    <row r="55" spans="1:10">
      <c r="A55" s="245"/>
      <c r="B55" s="458"/>
      <c r="C55" s="246" t="s">
        <v>825</v>
      </c>
      <c r="D55" s="247"/>
      <c r="E55" s="247"/>
      <c r="F55" s="247"/>
      <c r="G55" s="248"/>
      <c r="H55" s="248"/>
      <c r="I55" s="422" t="s">
        <v>967</v>
      </c>
      <c r="J55" s="422" t="s">
        <v>967</v>
      </c>
    </row>
    <row r="56" spans="1:10">
      <c r="A56" s="245"/>
      <c r="B56" s="460" t="s">
        <v>827</v>
      </c>
      <c r="C56" s="460"/>
      <c r="D56" s="247"/>
      <c r="E56" s="247"/>
      <c r="F56" s="247"/>
      <c r="G56" s="248"/>
      <c r="H56" s="248"/>
      <c r="I56" s="248"/>
      <c r="J56" s="248"/>
    </row>
    <row r="57" spans="1:10">
      <c r="A57" s="245"/>
      <c r="B57" s="455" t="s">
        <v>570</v>
      </c>
      <c r="C57" s="246" t="s">
        <v>807</v>
      </c>
      <c r="D57" s="247"/>
      <c r="E57" s="247"/>
      <c r="F57" s="247"/>
      <c r="G57" s="248"/>
      <c r="H57" s="248"/>
      <c r="I57" s="422" t="s">
        <v>967</v>
      </c>
      <c r="J57" s="422" t="s">
        <v>967</v>
      </c>
    </row>
    <row r="58" spans="1:10">
      <c r="A58" s="245"/>
      <c r="B58" s="455"/>
      <c r="C58" s="246" t="s">
        <v>808</v>
      </c>
      <c r="D58" s="247"/>
      <c r="E58" s="247"/>
      <c r="F58" s="247"/>
      <c r="G58" s="248"/>
      <c r="H58" s="248"/>
      <c r="I58" s="422" t="s">
        <v>966</v>
      </c>
      <c r="J58" s="422" t="s">
        <v>966</v>
      </c>
    </row>
    <row r="59" spans="1:10">
      <c r="A59" s="245"/>
      <c r="B59" s="455" t="s">
        <v>811</v>
      </c>
      <c r="C59" s="246" t="s">
        <v>807</v>
      </c>
      <c r="D59" s="247"/>
      <c r="E59" s="247"/>
      <c r="F59" s="247"/>
      <c r="G59" s="248"/>
      <c r="H59" s="248"/>
      <c r="I59" s="422" t="s">
        <v>967</v>
      </c>
      <c r="J59" s="422" t="s">
        <v>967</v>
      </c>
    </row>
    <row r="60" spans="1:10">
      <c r="A60" s="245"/>
      <c r="B60" s="455"/>
      <c r="C60" s="246" t="s">
        <v>808</v>
      </c>
      <c r="D60" s="247"/>
      <c r="E60" s="247"/>
      <c r="F60" s="247"/>
      <c r="G60" s="248"/>
      <c r="H60" s="248"/>
      <c r="I60" s="422" t="s">
        <v>966</v>
      </c>
      <c r="J60" s="422" t="s">
        <v>966</v>
      </c>
    </row>
    <row r="61" spans="1:10" s="379" customFormat="1">
      <c r="A61" s="376"/>
      <c r="B61" s="455" t="s">
        <v>812</v>
      </c>
      <c r="C61" s="246" t="s">
        <v>807</v>
      </c>
      <c r="D61" s="377"/>
      <c r="E61" s="377"/>
      <c r="F61" s="377"/>
      <c r="G61" s="378"/>
      <c r="H61" s="378"/>
      <c r="I61" s="422" t="s">
        <v>208</v>
      </c>
      <c r="J61" s="422" t="s">
        <v>208</v>
      </c>
    </row>
    <row r="62" spans="1:10" s="379" customFormat="1">
      <c r="A62" s="376"/>
      <c r="B62" s="455"/>
      <c r="C62" s="246" t="s">
        <v>808</v>
      </c>
      <c r="D62" s="377"/>
      <c r="E62" s="377"/>
      <c r="F62" s="377"/>
      <c r="G62" s="378"/>
      <c r="H62" s="378"/>
      <c r="I62" s="422" t="s">
        <v>208</v>
      </c>
      <c r="J62" s="422" t="s">
        <v>208</v>
      </c>
    </row>
    <row r="63" spans="1:10">
      <c r="A63" s="245"/>
      <c r="B63" s="455" t="s">
        <v>828</v>
      </c>
      <c r="C63" s="246" t="s">
        <v>807</v>
      </c>
      <c r="D63" s="247"/>
      <c r="E63" s="247"/>
      <c r="F63" s="247"/>
      <c r="G63" s="248"/>
      <c r="H63" s="248"/>
      <c r="I63" s="422" t="s">
        <v>967</v>
      </c>
      <c r="J63" s="422" t="s">
        <v>967</v>
      </c>
    </row>
    <row r="64" spans="1:10">
      <c r="A64" s="245"/>
      <c r="B64" s="455"/>
      <c r="C64" s="246" t="s">
        <v>808</v>
      </c>
      <c r="D64" s="247"/>
      <c r="E64" s="247"/>
      <c r="F64" s="247"/>
      <c r="G64" s="248"/>
      <c r="H64" s="248"/>
      <c r="I64" s="422" t="s">
        <v>966</v>
      </c>
      <c r="J64" s="422" t="s">
        <v>966</v>
      </c>
    </row>
    <row r="65" spans="1:10">
      <c r="A65" s="245"/>
      <c r="B65" s="455" t="s">
        <v>829</v>
      </c>
      <c r="C65" s="246" t="s">
        <v>807</v>
      </c>
      <c r="D65" s="247"/>
      <c r="E65" s="247"/>
      <c r="F65" s="247"/>
      <c r="G65" s="248"/>
      <c r="H65" s="248"/>
      <c r="I65" s="422" t="s">
        <v>967</v>
      </c>
      <c r="J65" s="422" t="s">
        <v>967</v>
      </c>
    </row>
    <row r="66" spans="1:10">
      <c r="A66" s="245"/>
      <c r="B66" s="455"/>
      <c r="C66" s="246" t="s">
        <v>808</v>
      </c>
      <c r="D66" s="247"/>
      <c r="E66" s="247"/>
      <c r="F66" s="247"/>
      <c r="G66" s="248"/>
      <c r="H66" s="248"/>
      <c r="I66" s="422" t="s">
        <v>966</v>
      </c>
      <c r="J66" s="422" t="s">
        <v>966</v>
      </c>
    </row>
    <row r="67" spans="1:10" ht="12.75" customHeight="1">
      <c r="A67" s="254">
        <v>3</v>
      </c>
      <c r="B67" s="459" t="s">
        <v>830</v>
      </c>
      <c r="C67" s="459"/>
      <c r="D67" s="459"/>
      <c r="E67" s="255"/>
      <c r="F67" s="255"/>
      <c r="G67" s="256"/>
      <c r="H67" s="256"/>
      <c r="I67" s="256"/>
      <c r="J67" s="256"/>
    </row>
    <row r="68" spans="1:10">
      <c r="A68" s="245"/>
      <c r="B68" s="462" t="s">
        <v>831</v>
      </c>
      <c r="C68" s="258" t="s">
        <v>832</v>
      </c>
      <c r="D68" s="259"/>
      <c r="E68" s="259"/>
      <c r="F68" s="259"/>
      <c r="G68" s="260"/>
      <c r="H68" s="260"/>
      <c r="I68" s="422" t="s">
        <v>966</v>
      </c>
      <c r="J68" s="422" t="s">
        <v>966</v>
      </c>
    </row>
    <row r="69" spans="1:10">
      <c r="A69" s="245"/>
      <c r="B69" s="462"/>
      <c r="C69" s="258" t="s">
        <v>833</v>
      </c>
      <c r="D69" s="259"/>
      <c r="E69" s="259"/>
      <c r="F69" s="259"/>
      <c r="G69" s="260"/>
      <c r="H69" s="260"/>
      <c r="I69" s="422" t="s">
        <v>967</v>
      </c>
      <c r="J69" s="422" t="s">
        <v>967</v>
      </c>
    </row>
    <row r="70" spans="1:10">
      <c r="A70" s="245"/>
      <c r="B70" s="462" t="s">
        <v>834</v>
      </c>
      <c r="C70" s="258" t="s">
        <v>832</v>
      </c>
      <c r="D70" s="259"/>
      <c r="E70" s="259"/>
      <c r="F70" s="259"/>
      <c r="G70" s="260"/>
      <c r="H70" s="260"/>
      <c r="I70" s="422" t="s">
        <v>967</v>
      </c>
      <c r="J70" s="422" t="s">
        <v>967</v>
      </c>
    </row>
    <row r="71" spans="1:10">
      <c r="A71" s="245"/>
      <c r="B71" s="462"/>
      <c r="C71" s="258" t="s">
        <v>833</v>
      </c>
      <c r="D71" s="259"/>
      <c r="E71" s="259"/>
      <c r="F71" s="259"/>
      <c r="G71" s="260"/>
      <c r="H71" s="260"/>
      <c r="I71" s="422" t="s">
        <v>967</v>
      </c>
      <c r="J71" s="422" t="s">
        <v>967</v>
      </c>
    </row>
    <row r="72" spans="1:10">
      <c r="A72" s="245"/>
      <c r="B72" s="462"/>
      <c r="C72" s="258" t="s">
        <v>835</v>
      </c>
      <c r="D72" s="259"/>
      <c r="E72" s="259"/>
      <c r="F72" s="259"/>
      <c r="G72" s="260"/>
      <c r="H72" s="260"/>
      <c r="I72" s="422" t="s">
        <v>966</v>
      </c>
      <c r="J72" s="422" t="s">
        <v>966</v>
      </c>
    </row>
    <row r="73" spans="1:10">
      <c r="A73" s="245"/>
      <c r="B73" s="462" t="s">
        <v>836</v>
      </c>
      <c r="C73" s="258" t="s">
        <v>807</v>
      </c>
      <c r="D73" s="259"/>
      <c r="E73" s="259"/>
      <c r="F73" s="259"/>
      <c r="G73" s="260"/>
      <c r="H73" s="260"/>
      <c r="I73" s="422" t="s">
        <v>966</v>
      </c>
      <c r="J73" s="422" t="s">
        <v>966</v>
      </c>
    </row>
    <row r="74" spans="1:10">
      <c r="A74" s="245"/>
      <c r="B74" s="462"/>
      <c r="C74" s="258" t="s">
        <v>808</v>
      </c>
      <c r="D74" s="259"/>
      <c r="E74" s="259"/>
      <c r="F74" s="259"/>
      <c r="G74" s="260"/>
      <c r="H74" s="260"/>
      <c r="I74" s="422" t="s">
        <v>966</v>
      </c>
      <c r="J74" s="422" t="s">
        <v>966</v>
      </c>
    </row>
    <row r="75" spans="1:10">
      <c r="A75" s="245"/>
      <c r="B75" s="462" t="s">
        <v>837</v>
      </c>
      <c r="C75" s="258" t="s">
        <v>807</v>
      </c>
      <c r="D75" s="259"/>
      <c r="E75" s="259"/>
      <c r="F75" s="259"/>
      <c r="G75" s="260"/>
      <c r="H75" s="260"/>
      <c r="I75" s="422" t="s">
        <v>967</v>
      </c>
      <c r="J75" s="422" t="s">
        <v>967</v>
      </c>
    </row>
    <row r="76" spans="1:10">
      <c r="A76" s="245"/>
      <c r="B76" s="462"/>
      <c r="C76" s="258" t="s">
        <v>808</v>
      </c>
      <c r="D76" s="259"/>
      <c r="E76" s="259"/>
      <c r="F76" s="259"/>
      <c r="G76" s="260"/>
      <c r="H76" s="260"/>
      <c r="I76" s="422" t="s">
        <v>966</v>
      </c>
      <c r="J76" s="422" t="s">
        <v>966</v>
      </c>
    </row>
    <row r="77" spans="1:10" ht="12.75" customHeight="1">
      <c r="A77" s="254">
        <v>4</v>
      </c>
      <c r="B77" s="459" t="s">
        <v>838</v>
      </c>
      <c r="C77" s="459"/>
      <c r="D77" s="459"/>
      <c r="E77" s="255"/>
      <c r="F77" s="255"/>
      <c r="G77" s="256"/>
      <c r="H77" s="256"/>
      <c r="I77" s="256"/>
      <c r="J77" s="256"/>
    </row>
    <row r="78" spans="1:10" ht="27" customHeight="1">
      <c r="A78" s="245"/>
      <c r="B78" s="477" t="s">
        <v>839</v>
      </c>
      <c r="C78" s="477"/>
      <c r="D78" s="261"/>
      <c r="E78" s="261"/>
      <c r="F78" s="261"/>
      <c r="G78" s="262"/>
      <c r="H78" s="262"/>
      <c r="I78" s="422" t="s">
        <v>966</v>
      </c>
      <c r="J78" s="422" t="s">
        <v>966</v>
      </c>
    </row>
    <row r="79" spans="1:10">
      <c r="A79" s="245"/>
      <c r="B79" s="462" t="s">
        <v>840</v>
      </c>
      <c r="C79" s="258" t="s">
        <v>841</v>
      </c>
      <c r="D79" s="259"/>
      <c r="E79" s="259"/>
      <c r="F79" s="259"/>
      <c r="G79" s="260"/>
      <c r="H79" s="260"/>
      <c r="I79" s="422" t="s">
        <v>966</v>
      </c>
      <c r="J79" s="422" t="s">
        <v>966</v>
      </c>
    </row>
    <row r="80" spans="1:10">
      <c r="A80" s="245"/>
      <c r="B80" s="462"/>
      <c r="C80" s="258" t="s">
        <v>842</v>
      </c>
      <c r="D80" s="259"/>
      <c r="E80" s="259"/>
      <c r="F80" s="259"/>
      <c r="G80" s="260"/>
      <c r="H80" s="260"/>
      <c r="I80" s="422" t="s">
        <v>966</v>
      </c>
      <c r="J80" s="422" t="s">
        <v>966</v>
      </c>
    </row>
    <row r="81" spans="1:10">
      <c r="A81" s="245"/>
      <c r="B81" s="462"/>
      <c r="C81" s="258" t="s">
        <v>843</v>
      </c>
      <c r="D81" s="259"/>
      <c r="E81" s="259"/>
      <c r="F81" s="259"/>
      <c r="G81" s="260"/>
      <c r="H81" s="260"/>
      <c r="I81" s="422" t="s">
        <v>967</v>
      </c>
      <c r="J81" s="422" t="s">
        <v>967</v>
      </c>
    </row>
    <row r="82" spans="1:10">
      <c r="A82" s="245"/>
      <c r="B82" s="462" t="s">
        <v>844</v>
      </c>
      <c r="C82" s="258" t="s">
        <v>845</v>
      </c>
      <c r="D82" s="259"/>
      <c r="E82" s="259"/>
      <c r="F82" s="259"/>
      <c r="G82" s="260"/>
      <c r="H82" s="260"/>
      <c r="I82" s="422" t="s">
        <v>967</v>
      </c>
      <c r="J82" s="422" t="s">
        <v>967</v>
      </c>
    </row>
    <row r="83" spans="1:10">
      <c r="A83" s="245"/>
      <c r="B83" s="462"/>
      <c r="C83" s="258" t="s">
        <v>846</v>
      </c>
      <c r="D83" s="259"/>
      <c r="E83" s="259"/>
      <c r="F83" s="259"/>
      <c r="G83" s="260"/>
      <c r="H83" s="260"/>
      <c r="I83" s="422" t="s">
        <v>966</v>
      </c>
      <c r="J83" s="422" t="s">
        <v>966</v>
      </c>
    </row>
    <row r="84" spans="1:10">
      <c r="A84" s="245"/>
      <c r="B84" s="462" t="s">
        <v>847</v>
      </c>
      <c r="C84" s="258" t="s">
        <v>807</v>
      </c>
      <c r="D84" s="259"/>
      <c r="E84" s="259"/>
      <c r="F84" s="259"/>
      <c r="G84" s="260"/>
      <c r="H84" s="260"/>
      <c r="I84" s="422" t="s">
        <v>967</v>
      </c>
      <c r="J84" s="422" t="s">
        <v>967</v>
      </c>
    </row>
    <row r="85" spans="1:10">
      <c r="A85" s="245"/>
      <c r="B85" s="462"/>
      <c r="C85" s="258" t="s">
        <v>808</v>
      </c>
      <c r="D85" s="259"/>
      <c r="E85" s="259"/>
      <c r="F85" s="259"/>
      <c r="G85" s="260"/>
      <c r="H85" s="260"/>
      <c r="I85" s="422" t="s">
        <v>966</v>
      </c>
      <c r="J85" s="422" t="s">
        <v>966</v>
      </c>
    </row>
    <row r="86" spans="1:10" ht="12.75" customHeight="1">
      <c r="A86" s="254">
        <v>5</v>
      </c>
      <c r="B86" s="459" t="s">
        <v>848</v>
      </c>
      <c r="C86" s="459"/>
      <c r="D86" s="459"/>
      <c r="E86" s="255"/>
      <c r="F86" s="255"/>
      <c r="G86" s="256"/>
      <c r="H86" s="256"/>
      <c r="I86" s="256"/>
      <c r="J86" s="256"/>
    </row>
    <row r="87" spans="1:10" ht="14.1" customHeight="1">
      <c r="A87" s="245"/>
      <c r="B87" s="461" t="s">
        <v>849</v>
      </c>
      <c r="C87" s="246" t="s">
        <v>850</v>
      </c>
      <c r="D87" s="259"/>
      <c r="E87" s="259"/>
      <c r="F87" s="259"/>
      <c r="G87" s="260"/>
      <c r="H87" s="260"/>
      <c r="I87" s="422" t="s">
        <v>967</v>
      </c>
      <c r="J87" s="422" t="s">
        <v>967</v>
      </c>
    </row>
    <row r="88" spans="1:10">
      <c r="A88" s="245"/>
      <c r="B88" s="461"/>
      <c r="C88" s="246" t="s">
        <v>851</v>
      </c>
      <c r="D88" s="259"/>
      <c r="E88" s="259"/>
      <c r="F88" s="259"/>
      <c r="G88" s="260"/>
      <c r="H88" s="260"/>
      <c r="I88" s="422" t="s">
        <v>966</v>
      </c>
      <c r="J88" s="422" t="s">
        <v>966</v>
      </c>
    </row>
    <row r="89" spans="1:10">
      <c r="A89" s="245"/>
      <c r="B89" s="461"/>
      <c r="C89" s="246" t="s">
        <v>852</v>
      </c>
      <c r="D89" s="259"/>
      <c r="E89" s="259"/>
      <c r="F89" s="259"/>
      <c r="G89" s="260"/>
      <c r="H89" s="260"/>
      <c r="I89" s="422" t="s">
        <v>967</v>
      </c>
      <c r="J89" s="422" t="s">
        <v>967</v>
      </c>
    </row>
    <row r="90" spans="1:10" ht="12.75" customHeight="1">
      <c r="A90" s="245"/>
      <c r="B90" s="463" t="s">
        <v>853</v>
      </c>
      <c r="C90" s="463"/>
      <c r="D90" s="259"/>
      <c r="E90" s="259"/>
      <c r="F90" s="259"/>
      <c r="G90" s="260"/>
      <c r="H90" s="260"/>
      <c r="I90" s="422" t="s">
        <v>966</v>
      </c>
      <c r="J90" s="422" t="s">
        <v>966</v>
      </c>
    </row>
    <row r="91" spans="1:10">
      <c r="A91" s="245"/>
      <c r="B91" s="462" t="s">
        <v>854</v>
      </c>
      <c r="C91" s="258" t="s">
        <v>807</v>
      </c>
      <c r="D91" s="259"/>
      <c r="E91" s="259"/>
      <c r="F91" s="259"/>
      <c r="G91" s="260"/>
      <c r="H91" s="260"/>
      <c r="I91" s="422" t="s">
        <v>967</v>
      </c>
      <c r="J91" s="422" t="s">
        <v>967</v>
      </c>
    </row>
    <row r="92" spans="1:10">
      <c r="A92" s="245"/>
      <c r="B92" s="462"/>
      <c r="C92" s="258" t="s">
        <v>808</v>
      </c>
      <c r="D92" s="259"/>
      <c r="E92" s="259"/>
      <c r="F92" s="259"/>
      <c r="G92" s="260"/>
      <c r="H92" s="260"/>
      <c r="I92" s="422" t="s">
        <v>966</v>
      </c>
      <c r="J92" s="422" t="s">
        <v>966</v>
      </c>
    </row>
    <row r="93" spans="1:10" ht="12.75" customHeight="1">
      <c r="A93" s="254">
        <v>6</v>
      </c>
      <c r="B93" s="459" t="s">
        <v>855</v>
      </c>
      <c r="C93" s="459"/>
      <c r="D93" s="459"/>
      <c r="E93" s="255"/>
      <c r="F93" s="255"/>
      <c r="G93" s="256"/>
      <c r="H93" s="256"/>
      <c r="I93" s="256"/>
      <c r="J93" s="256"/>
    </row>
    <row r="94" spans="1:10" ht="12.75" customHeight="1">
      <c r="A94" s="245"/>
      <c r="B94" s="464" t="s">
        <v>856</v>
      </c>
      <c r="C94" s="464"/>
      <c r="D94" s="259"/>
      <c r="E94" s="259"/>
      <c r="F94" s="259"/>
      <c r="G94" s="260"/>
      <c r="H94" s="260"/>
      <c r="I94" s="422" t="s">
        <v>961</v>
      </c>
      <c r="J94" s="422" t="s">
        <v>961</v>
      </c>
    </row>
    <row r="95" spans="1:10">
      <c r="A95" s="245"/>
      <c r="B95" s="462" t="s">
        <v>857</v>
      </c>
      <c r="C95" s="258" t="s">
        <v>858</v>
      </c>
      <c r="D95" s="259"/>
      <c r="E95" s="259"/>
      <c r="F95" s="259"/>
      <c r="G95" s="260"/>
      <c r="H95" s="260"/>
      <c r="I95" s="422" t="s">
        <v>961</v>
      </c>
      <c r="J95" s="422" t="s">
        <v>961</v>
      </c>
    </row>
    <row r="96" spans="1:10">
      <c r="A96" s="245"/>
      <c r="B96" s="462"/>
      <c r="C96" s="258" t="s">
        <v>859</v>
      </c>
      <c r="D96" s="259"/>
      <c r="E96" s="259"/>
      <c r="F96" s="259"/>
      <c r="G96" s="260"/>
      <c r="H96" s="260"/>
      <c r="I96" s="422" t="s">
        <v>961</v>
      </c>
      <c r="J96" s="422" t="s">
        <v>961</v>
      </c>
    </row>
    <row r="97" spans="1:10">
      <c r="A97" s="245"/>
      <c r="B97" s="458" t="s">
        <v>860</v>
      </c>
      <c r="C97" s="246" t="s">
        <v>861</v>
      </c>
      <c r="D97" s="259"/>
      <c r="E97" s="259"/>
      <c r="F97" s="259"/>
      <c r="G97" s="260"/>
      <c r="H97" s="260"/>
      <c r="I97" s="422" t="s">
        <v>961</v>
      </c>
      <c r="J97" s="422" t="s">
        <v>961</v>
      </c>
    </row>
    <row r="98" spans="1:10">
      <c r="A98" s="245"/>
      <c r="B98" s="458"/>
      <c r="C98" s="246" t="s">
        <v>862</v>
      </c>
      <c r="D98" s="259"/>
      <c r="E98" s="259"/>
      <c r="F98" s="259"/>
      <c r="G98" s="260"/>
      <c r="H98" s="260"/>
      <c r="I98" s="422" t="s">
        <v>961</v>
      </c>
      <c r="J98" s="422" t="s">
        <v>961</v>
      </c>
    </row>
    <row r="99" spans="1:10" ht="14.1" customHeight="1">
      <c r="A99" s="245"/>
      <c r="B99" s="465" t="s">
        <v>863</v>
      </c>
      <c r="C99" s="258" t="s">
        <v>864</v>
      </c>
      <c r="D99" s="259"/>
      <c r="E99" s="259"/>
      <c r="F99" s="259"/>
      <c r="G99" s="260"/>
      <c r="H99" s="260"/>
      <c r="I99" s="422" t="s">
        <v>961</v>
      </c>
      <c r="J99" s="422" t="s">
        <v>961</v>
      </c>
    </row>
    <row r="100" spans="1:10">
      <c r="A100" s="245"/>
      <c r="B100" s="465"/>
      <c r="C100" s="258" t="s">
        <v>865</v>
      </c>
      <c r="D100" s="259"/>
      <c r="E100" s="259"/>
      <c r="F100" s="259"/>
      <c r="G100" s="260"/>
      <c r="H100" s="260"/>
      <c r="I100" s="422" t="s">
        <v>961</v>
      </c>
      <c r="J100" s="422" t="s">
        <v>961</v>
      </c>
    </row>
    <row r="101" spans="1:10">
      <c r="A101" s="245"/>
      <c r="B101" s="465"/>
      <c r="C101" s="246" t="s">
        <v>866</v>
      </c>
      <c r="D101" s="259"/>
      <c r="E101" s="259"/>
      <c r="F101" s="259"/>
      <c r="G101" s="260"/>
      <c r="H101" s="260"/>
      <c r="I101" s="422" t="s">
        <v>961</v>
      </c>
      <c r="J101" s="422" t="s">
        <v>961</v>
      </c>
    </row>
    <row r="102" spans="1:10">
      <c r="A102" s="245"/>
      <c r="B102" s="465"/>
      <c r="C102" s="246" t="s">
        <v>867</v>
      </c>
      <c r="D102" s="259"/>
      <c r="E102" s="259"/>
      <c r="F102" s="259"/>
      <c r="G102" s="260"/>
      <c r="H102" s="260"/>
      <c r="I102" s="422" t="s">
        <v>961</v>
      </c>
      <c r="J102" s="422" t="s">
        <v>961</v>
      </c>
    </row>
    <row r="103" spans="1:10">
      <c r="A103" s="245"/>
      <c r="B103" s="462" t="s">
        <v>847</v>
      </c>
      <c r="C103" s="258" t="s">
        <v>807</v>
      </c>
      <c r="D103" s="259"/>
      <c r="E103" s="259"/>
      <c r="F103" s="259"/>
      <c r="G103" s="260"/>
      <c r="H103" s="260"/>
      <c r="I103" s="422" t="s">
        <v>961</v>
      </c>
      <c r="J103" s="422" t="s">
        <v>961</v>
      </c>
    </row>
    <row r="104" spans="1:10">
      <c r="A104" s="245"/>
      <c r="B104" s="462"/>
      <c r="C104" s="258" t="s">
        <v>808</v>
      </c>
      <c r="D104" s="259"/>
      <c r="E104" s="259"/>
      <c r="F104" s="259"/>
      <c r="G104" s="260"/>
      <c r="H104" s="260"/>
      <c r="I104" s="422" t="s">
        <v>961</v>
      </c>
      <c r="J104" s="422" t="s">
        <v>961</v>
      </c>
    </row>
    <row r="105" spans="1:10" ht="12.75" customHeight="1">
      <c r="A105" s="254">
        <v>7</v>
      </c>
      <c r="B105" s="459" t="s">
        <v>868</v>
      </c>
      <c r="C105" s="459"/>
      <c r="D105" s="459"/>
      <c r="E105" s="255"/>
      <c r="F105" s="255"/>
      <c r="G105" s="256"/>
      <c r="H105" s="256"/>
      <c r="I105" s="256"/>
      <c r="J105" s="256"/>
    </row>
    <row r="106" spans="1:10" ht="14.1" customHeight="1">
      <c r="A106" s="245"/>
      <c r="B106" s="465" t="s">
        <v>869</v>
      </c>
      <c r="C106" s="258" t="s">
        <v>870</v>
      </c>
      <c r="D106" s="259"/>
      <c r="E106" s="259"/>
      <c r="F106" s="259"/>
      <c r="G106" s="260"/>
      <c r="H106" s="260"/>
      <c r="I106" s="422" t="s">
        <v>961</v>
      </c>
      <c r="J106" s="422" t="s">
        <v>961</v>
      </c>
    </row>
    <row r="107" spans="1:10">
      <c r="A107" s="245"/>
      <c r="B107" s="465"/>
      <c r="C107" s="258" t="s">
        <v>871</v>
      </c>
      <c r="D107" s="259"/>
      <c r="E107" s="259"/>
      <c r="F107" s="259"/>
      <c r="G107" s="260"/>
      <c r="H107" s="260"/>
      <c r="I107" s="422" t="s">
        <v>961</v>
      </c>
      <c r="J107" s="422" t="s">
        <v>961</v>
      </c>
    </row>
    <row r="108" spans="1:10">
      <c r="A108" s="245"/>
      <c r="B108" s="465"/>
      <c r="C108" s="258" t="s">
        <v>872</v>
      </c>
      <c r="D108" s="259"/>
      <c r="E108" s="259"/>
      <c r="F108" s="259"/>
      <c r="G108" s="260"/>
      <c r="H108" s="260"/>
      <c r="I108" s="422" t="s">
        <v>961</v>
      </c>
      <c r="J108" s="422" t="s">
        <v>961</v>
      </c>
    </row>
    <row r="109" spans="1:10">
      <c r="A109" s="245"/>
      <c r="B109" s="462" t="s">
        <v>873</v>
      </c>
      <c r="C109" s="258" t="s">
        <v>874</v>
      </c>
      <c r="D109" s="259"/>
      <c r="E109" s="259"/>
      <c r="F109" s="259"/>
      <c r="G109" s="260"/>
      <c r="H109" s="260"/>
      <c r="I109" s="422" t="s">
        <v>961</v>
      </c>
      <c r="J109" s="422" t="s">
        <v>961</v>
      </c>
    </row>
    <row r="110" spans="1:10">
      <c r="A110" s="245"/>
      <c r="B110" s="462"/>
      <c r="C110" s="258" t="s">
        <v>871</v>
      </c>
      <c r="D110" s="259"/>
      <c r="E110" s="259"/>
      <c r="F110" s="259"/>
      <c r="G110" s="260"/>
      <c r="H110" s="260"/>
      <c r="I110" s="422" t="s">
        <v>961</v>
      </c>
      <c r="J110" s="422" t="s">
        <v>961</v>
      </c>
    </row>
    <row r="111" spans="1:10">
      <c r="A111" s="245"/>
      <c r="B111" s="462"/>
      <c r="C111" s="258" t="s">
        <v>872</v>
      </c>
      <c r="D111" s="259"/>
      <c r="E111" s="259"/>
      <c r="F111" s="259"/>
      <c r="G111" s="260"/>
      <c r="H111" s="260"/>
      <c r="I111" s="422" t="s">
        <v>961</v>
      </c>
      <c r="J111" s="422" t="s">
        <v>961</v>
      </c>
    </row>
    <row r="112" spans="1:10" s="379" customFormat="1" ht="25.5">
      <c r="A112" s="376"/>
      <c r="B112" s="465" t="s">
        <v>875</v>
      </c>
      <c r="C112" s="385" t="s">
        <v>876</v>
      </c>
      <c r="D112" s="380"/>
      <c r="E112" s="380"/>
      <c r="F112" s="380"/>
      <c r="G112" s="381"/>
      <c r="H112" s="381"/>
      <c r="I112" s="422" t="s">
        <v>208</v>
      </c>
      <c r="J112" s="422" t="s">
        <v>966</v>
      </c>
    </row>
    <row r="113" spans="1:10" s="379" customFormat="1" ht="14.25" customHeight="1">
      <c r="A113" s="376"/>
      <c r="B113" s="465"/>
      <c r="C113" s="385" t="s">
        <v>877</v>
      </c>
      <c r="D113" s="380"/>
      <c r="E113" s="380"/>
      <c r="F113" s="380"/>
      <c r="G113" s="381"/>
      <c r="H113" s="381"/>
      <c r="I113" s="422" t="s">
        <v>208</v>
      </c>
      <c r="J113" s="422" t="s">
        <v>208</v>
      </c>
    </row>
    <row r="114" spans="1:10" s="379" customFormat="1" ht="25.5">
      <c r="A114" s="376"/>
      <c r="B114" s="465"/>
      <c r="C114" s="385" t="s">
        <v>878</v>
      </c>
      <c r="D114" s="380"/>
      <c r="E114" s="380"/>
      <c r="F114" s="380"/>
      <c r="G114" s="381"/>
      <c r="H114" s="381"/>
      <c r="I114" s="422" t="s">
        <v>208</v>
      </c>
      <c r="J114" s="422" t="s">
        <v>208</v>
      </c>
    </row>
    <row r="115" spans="1:10" s="379" customFormat="1">
      <c r="A115" s="376"/>
      <c r="B115" s="472" t="s">
        <v>879</v>
      </c>
      <c r="C115" s="258" t="s">
        <v>880</v>
      </c>
      <c r="D115" s="380"/>
      <c r="E115" s="380"/>
      <c r="F115" s="380"/>
      <c r="G115" s="381"/>
      <c r="H115" s="381"/>
      <c r="I115" s="422" t="s">
        <v>208</v>
      </c>
      <c r="J115" s="422" t="s">
        <v>208</v>
      </c>
    </row>
    <row r="116" spans="1:10" s="379" customFormat="1" ht="38.25">
      <c r="A116" s="376"/>
      <c r="B116" s="473"/>
      <c r="C116" s="385" t="s">
        <v>881</v>
      </c>
      <c r="D116" s="380"/>
      <c r="E116" s="380"/>
      <c r="F116" s="380"/>
      <c r="G116" s="381"/>
      <c r="H116" s="381"/>
      <c r="I116" s="422" t="s">
        <v>208</v>
      </c>
      <c r="J116" s="422" t="s">
        <v>208</v>
      </c>
    </row>
    <row r="117" spans="1:10" s="379" customFormat="1">
      <c r="A117" s="376"/>
      <c r="B117" s="473"/>
      <c r="C117" s="258" t="s">
        <v>872</v>
      </c>
      <c r="D117" s="380"/>
      <c r="E117" s="380"/>
      <c r="F117" s="380"/>
      <c r="G117" s="381"/>
      <c r="H117" s="381"/>
      <c r="I117" s="422" t="s">
        <v>208</v>
      </c>
      <c r="J117" s="422" t="s">
        <v>208</v>
      </c>
    </row>
    <row r="118" spans="1:10" s="379" customFormat="1">
      <c r="A118" s="376"/>
      <c r="B118" s="474"/>
      <c r="C118" s="258" t="s">
        <v>882</v>
      </c>
      <c r="D118" s="380"/>
      <c r="E118" s="380"/>
      <c r="F118" s="380"/>
      <c r="G118" s="381"/>
      <c r="H118" s="381"/>
      <c r="I118" s="422" t="s">
        <v>208</v>
      </c>
      <c r="J118" s="422" t="s">
        <v>208</v>
      </c>
    </row>
    <row r="119" spans="1:10" s="379" customFormat="1">
      <c r="A119" s="376"/>
      <c r="B119" s="465" t="s">
        <v>883</v>
      </c>
      <c r="C119" s="258" t="s">
        <v>884</v>
      </c>
      <c r="D119" s="380"/>
      <c r="E119" s="380"/>
      <c r="F119" s="380"/>
      <c r="G119" s="381"/>
      <c r="H119" s="381"/>
      <c r="I119" s="422" t="s">
        <v>208</v>
      </c>
      <c r="J119" s="422" t="s">
        <v>208</v>
      </c>
    </row>
    <row r="120" spans="1:10" s="379" customFormat="1">
      <c r="A120" s="376"/>
      <c r="B120" s="465"/>
      <c r="C120" s="385" t="s">
        <v>885</v>
      </c>
      <c r="D120" s="380"/>
      <c r="E120" s="380"/>
      <c r="F120" s="380"/>
      <c r="G120" s="381"/>
      <c r="H120" s="381"/>
      <c r="I120" s="422" t="s">
        <v>208</v>
      </c>
      <c r="J120" s="422" t="s">
        <v>208</v>
      </c>
    </row>
    <row r="121" spans="1:10">
      <c r="A121" s="245"/>
      <c r="B121" s="462" t="s">
        <v>854</v>
      </c>
      <c r="C121" s="258" t="s">
        <v>807</v>
      </c>
      <c r="D121" s="259"/>
      <c r="E121" s="259"/>
      <c r="F121" s="259"/>
      <c r="G121" s="260"/>
      <c r="H121" s="260"/>
      <c r="I121" s="422" t="s">
        <v>961</v>
      </c>
      <c r="J121" s="422" t="s">
        <v>961</v>
      </c>
    </row>
    <row r="122" spans="1:10">
      <c r="A122" s="245"/>
      <c r="B122" s="462"/>
      <c r="C122" s="258" t="s">
        <v>808</v>
      </c>
      <c r="D122" s="259"/>
      <c r="E122" s="259"/>
      <c r="F122" s="259"/>
      <c r="G122" s="260"/>
      <c r="H122" s="260"/>
      <c r="I122" s="422" t="s">
        <v>961</v>
      </c>
      <c r="J122" s="422" t="s">
        <v>961</v>
      </c>
    </row>
    <row r="123" spans="1:10">
      <c r="A123" s="254">
        <v>8</v>
      </c>
      <c r="B123" s="459" t="s">
        <v>886</v>
      </c>
      <c r="C123" s="459"/>
      <c r="D123" s="459"/>
      <c r="E123" s="255"/>
      <c r="F123" s="255"/>
      <c r="G123" s="256"/>
      <c r="H123" s="256"/>
      <c r="I123" s="256"/>
      <c r="J123" s="256"/>
    </row>
    <row r="124" spans="1:10">
      <c r="A124" s="245"/>
      <c r="B124" s="463" t="s">
        <v>887</v>
      </c>
      <c r="C124" s="463"/>
      <c r="D124" s="259"/>
      <c r="E124" s="259"/>
      <c r="F124" s="259"/>
      <c r="G124" s="260"/>
      <c r="H124" s="260"/>
      <c r="I124" s="422" t="s">
        <v>961</v>
      </c>
      <c r="J124" s="422" t="s">
        <v>961</v>
      </c>
    </row>
    <row r="125" spans="1:10">
      <c r="A125" s="245"/>
      <c r="B125" s="462" t="s">
        <v>840</v>
      </c>
      <c r="C125" s="258" t="s">
        <v>841</v>
      </c>
      <c r="D125" s="259"/>
      <c r="E125" s="259"/>
      <c r="F125" s="259"/>
      <c r="G125" s="260"/>
      <c r="H125" s="260"/>
      <c r="I125" s="422" t="s">
        <v>961</v>
      </c>
      <c r="J125" s="422" t="s">
        <v>961</v>
      </c>
    </row>
    <row r="126" spans="1:10">
      <c r="A126" s="245"/>
      <c r="B126" s="462"/>
      <c r="C126" s="258" t="s">
        <v>842</v>
      </c>
      <c r="D126" s="259"/>
      <c r="E126" s="259"/>
      <c r="F126" s="259"/>
      <c r="G126" s="260"/>
      <c r="H126" s="260"/>
      <c r="I126" s="422" t="s">
        <v>961</v>
      </c>
      <c r="J126" s="422" t="s">
        <v>961</v>
      </c>
    </row>
    <row r="127" spans="1:10">
      <c r="A127" s="245"/>
      <c r="B127" s="462" t="s">
        <v>888</v>
      </c>
      <c r="C127" s="258" t="s">
        <v>845</v>
      </c>
      <c r="D127" s="259"/>
      <c r="E127" s="259"/>
      <c r="F127" s="259"/>
      <c r="G127" s="260"/>
      <c r="H127" s="260"/>
      <c r="I127" s="422" t="s">
        <v>961</v>
      </c>
      <c r="J127" s="422" t="s">
        <v>961</v>
      </c>
    </row>
    <row r="128" spans="1:10">
      <c r="A128" s="245"/>
      <c r="B128" s="462"/>
      <c r="C128" s="258" t="s">
        <v>846</v>
      </c>
      <c r="D128" s="259"/>
      <c r="E128" s="259"/>
      <c r="F128" s="259"/>
      <c r="G128" s="260"/>
      <c r="H128" s="260"/>
      <c r="I128" s="422" t="s">
        <v>961</v>
      </c>
      <c r="J128" s="422" t="s">
        <v>961</v>
      </c>
    </row>
    <row r="129" spans="1:10">
      <c r="A129" s="245"/>
      <c r="B129" s="462" t="s">
        <v>854</v>
      </c>
      <c r="C129" s="258" t="s">
        <v>807</v>
      </c>
      <c r="D129" s="259"/>
      <c r="E129" s="259"/>
      <c r="F129" s="259"/>
      <c r="G129" s="260"/>
      <c r="H129" s="260"/>
      <c r="I129" s="422" t="s">
        <v>961</v>
      </c>
      <c r="J129" s="422" t="s">
        <v>961</v>
      </c>
    </row>
    <row r="130" spans="1:10">
      <c r="A130" s="245"/>
      <c r="B130" s="462"/>
      <c r="C130" s="258" t="s">
        <v>808</v>
      </c>
      <c r="D130" s="259"/>
      <c r="E130" s="259"/>
      <c r="F130" s="259"/>
      <c r="G130" s="260"/>
      <c r="H130" s="260"/>
      <c r="I130" s="422" t="s">
        <v>961</v>
      </c>
      <c r="J130" s="422" t="s">
        <v>961</v>
      </c>
    </row>
    <row r="131" spans="1:10">
      <c r="A131" s="254">
        <v>9</v>
      </c>
      <c r="B131" s="459" t="s">
        <v>889</v>
      </c>
      <c r="C131" s="459"/>
      <c r="D131" s="459"/>
      <c r="E131" s="255"/>
      <c r="F131" s="255"/>
      <c r="G131" s="256"/>
      <c r="H131" s="256"/>
      <c r="I131" s="256"/>
      <c r="J131" s="256"/>
    </row>
    <row r="132" spans="1:10">
      <c r="A132" s="245"/>
      <c r="B132" s="462" t="s">
        <v>890</v>
      </c>
      <c r="C132" s="258" t="s">
        <v>891</v>
      </c>
      <c r="D132" s="259"/>
      <c r="E132" s="259"/>
      <c r="F132" s="259"/>
      <c r="G132" s="260"/>
      <c r="H132" s="260"/>
      <c r="I132" s="422" t="s">
        <v>967</v>
      </c>
      <c r="J132" s="422" t="s">
        <v>967</v>
      </c>
    </row>
    <row r="133" spans="1:10">
      <c r="A133" s="245"/>
      <c r="B133" s="462"/>
      <c r="C133" s="258" t="s">
        <v>892</v>
      </c>
      <c r="D133" s="259"/>
      <c r="E133" s="259"/>
      <c r="F133" s="259"/>
      <c r="G133" s="260"/>
      <c r="H133" s="260"/>
      <c r="I133" s="422" t="s">
        <v>966</v>
      </c>
      <c r="J133" s="422" t="s">
        <v>966</v>
      </c>
    </row>
    <row r="134" spans="1:10" ht="14.1" customHeight="1">
      <c r="A134" s="245"/>
      <c r="B134" s="465" t="s">
        <v>893</v>
      </c>
      <c r="C134" s="258" t="s">
        <v>894</v>
      </c>
      <c r="D134" s="259"/>
      <c r="E134" s="259"/>
      <c r="F134" s="259"/>
      <c r="G134" s="260"/>
      <c r="H134" s="260"/>
      <c r="I134" s="422" t="s">
        <v>961</v>
      </c>
      <c r="J134" s="422" t="s">
        <v>961</v>
      </c>
    </row>
    <row r="135" spans="1:10">
      <c r="A135" s="245"/>
      <c r="B135" s="465"/>
      <c r="C135" s="258" t="s">
        <v>895</v>
      </c>
      <c r="D135" s="259"/>
      <c r="E135" s="259"/>
      <c r="F135" s="259"/>
      <c r="G135" s="260"/>
      <c r="H135" s="260"/>
      <c r="I135" s="422" t="s">
        <v>961</v>
      </c>
      <c r="J135" s="422" t="s">
        <v>961</v>
      </c>
    </row>
    <row r="136" spans="1:10">
      <c r="A136" s="245"/>
      <c r="B136" s="465"/>
      <c r="C136" s="258" t="s">
        <v>896</v>
      </c>
      <c r="D136" s="259"/>
      <c r="E136" s="259"/>
      <c r="F136" s="259"/>
      <c r="G136" s="260"/>
      <c r="H136" s="260"/>
      <c r="I136" s="422" t="s">
        <v>961</v>
      </c>
      <c r="J136" s="422" t="s">
        <v>961</v>
      </c>
    </row>
    <row r="137" spans="1:10">
      <c r="A137" s="245"/>
      <c r="B137" s="466" t="s">
        <v>897</v>
      </c>
      <c r="C137" s="466"/>
      <c r="D137" s="263"/>
      <c r="E137" s="264"/>
      <c r="F137" s="264"/>
      <c r="G137" s="265"/>
      <c r="H137" s="265"/>
      <c r="I137" s="265"/>
      <c r="J137" s="265"/>
    </row>
    <row r="138" spans="1:10">
      <c r="A138" s="245"/>
      <c r="B138" s="467" t="s">
        <v>898</v>
      </c>
      <c r="C138" s="261" t="s">
        <v>899</v>
      </c>
      <c r="D138" s="259"/>
      <c r="E138" s="259"/>
      <c r="F138" s="259"/>
      <c r="G138" s="260"/>
      <c r="H138" s="260"/>
      <c r="I138" s="422" t="s">
        <v>961</v>
      </c>
      <c r="J138" s="422" t="s">
        <v>961</v>
      </c>
    </row>
    <row r="139" spans="1:10">
      <c r="A139" s="245"/>
      <c r="B139" s="467"/>
      <c r="C139" s="261" t="s">
        <v>900</v>
      </c>
      <c r="D139" s="259"/>
      <c r="E139" s="259"/>
      <c r="F139" s="259"/>
      <c r="G139" s="260"/>
      <c r="H139" s="260"/>
      <c r="I139" s="422" t="s">
        <v>961</v>
      </c>
      <c r="J139" s="422" t="s">
        <v>961</v>
      </c>
    </row>
    <row r="140" spans="1:10">
      <c r="A140" s="245"/>
      <c r="B140" s="467"/>
      <c r="C140" s="261" t="s">
        <v>901</v>
      </c>
      <c r="D140" s="259"/>
      <c r="E140" s="259"/>
      <c r="F140" s="259"/>
      <c r="G140" s="260"/>
      <c r="H140" s="260"/>
      <c r="I140" s="422" t="s">
        <v>961</v>
      </c>
      <c r="J140" s="422" t="s">
        <v>961</v>
      </c>
    </row>
    <row r="141" spans="1:10">
      <c r="A141" s="245"/>
      <c r="B141" s="467"/>
      <c r="C141" s="261" t="s">
        <v>902</v>
      </c>
      <c r="D141" s="259"/>
      <c r="E141" s="259"/>
      <c r="F141" s="259"/>
      <c r="G141" s="260"/>
      <c r="H141" s="260"/>
      <c r="I141" s="422" t="s">
        <v>961</v>
      </c>
      <c r="J141" s="422" t="s">
        <v>961</v>
      </c>
    </row>
    <row r="142" spans="1:10">
      <c r="A142" s="245"/>
      <c r="B142" s="467" t="s">
        <v>903</v>
      </c>
      <c r="C142" s="261" t="s">
        <v>899</v>
      </c>
      <c r="D142" s="259"/>
      <c r="E142" s="259"/>
      <c r="F142" s="259"/>
      <c r="G142" s="260"/>
      <c r="H142" s="260"/>
      <c r="I142" s="422" t="s">
        <v>961</v>
      </c>
      <c r="J142" s="422" t="s">
        <v>961</v>
      </c>
    </row>
    <row r="143" spans="1:10">
      <c r="A143" s="245"/>
      <c r="B143" s="467"/>
      <c r="C143" s="261" t="s">
        <v>900</v>
      </c>
      <c r="D143" s="259"/>
      <c r="E143" s="259"/>
      <c r="F143" s="259"/>
      <c r="G143" s="260"/>
      <c r="H143" s="260"/>
      <c r="I143" s="422" t="s">
        <v>961</v>
      </c>
      <c r="J143" s="422" t="s">
        <v>961</v>
      </c>
    </row>
    <row r="144" spans="1:10">
      <c r="A144" s="245"/>
      <c r="B144" s="467"/>
      <c r="C144" s="261" t="s">
        <v>901</v>
      </c>
      <c r="D144" s="259"/>
      <c r="E144" s="259"/>
      <c r="F144" s="259"/>
      <c r="G144" s="260"/>
      <c r="H144" s="260"/>
      <c r="I144" s="422" t="s">
        <v>961</v>
      </c>
      <c r="J144" s="422" t="s">
        <v>961</v>
      </c>
    </row>
    <row r="145" spans="1:10">
      <c r="A145" s="245"/>
      <c r="B145" s="467"/>
      <c r="C145" s="261" t="s">
        <v>902</v>
      </c>
      <c r="D145" s="259"/>
      <c r="E145" s="259"/>
      <c r="F145" s="259"/>
      <c r="G145" s="260"/>
      <c r="H145" s="260"/>
      <c r="I145" s="422" t="s">
        <v>961</v>
      </c>
      <c r="J145" s="422" t="s">
        <v>961</v>
      </c>
    </row>
    <row r="146" spans="1:10">
      <c r="A146" s="245"/>
      <c r="B146" s="467" t="s">
        <v>904</v>
      </c>
      <c r="C146" s="261" t="s">
        <v>899</v>
      </c>
      <c r="D146" s="259"/>
      <c r="E146" s="259"/>
      <c r="F146" s="259"/>
      <c r="G146" s="260"/>
      <c r="H146" s="260"/>
      <c r="I146" s="422" t="s">
        <v>967</v>
      </c>
      <c r="J146" s="422" t="s">
        <v>961</v>
      </c>
    </row>
    <row r="147" spans="1:10">
      <c r="A147" s="245"/>
      <c r="B147" s="467"/>
      <c r="C147" s="261" t="s">
        <v>900</v>
      </c>
      <c r="D147" s="259"/>
      <c r="E147" s="259"/>
      <c r="F147" s="259"/>
      <c r="G147" s="260"/>
      <c r="H147" s="260"/>
      <c r="I147" s="422" t="s">
        <v>966</v>
      </c>
      <c r="J147" s="422" t="s">
        <v>966</v>
      </c>
    </row>
    <row r="148" spans="1:10">
      <c r="A148" s="245"/>
      <c r="B148" s="467"/>
      <c r="C148" s="261" t="s">
        <v>901</v>
      </c>
      <c r="D148" s="259"/>
      <c r="E148" s="259"/>
      <c r="F148" s="259"/>
      <c r="G148" s="260"/>
      <c r="H148" s="260"/>
      <c r="I148" s="422" t="s">
        <v>967</v>
      </c>
      <c r="J148" s="422" t="s">
        <v>967</v>
      </c>
    </row>
    <row r="149" spans="1:10">
      <c r="A149" s="245"/>
      <c r="B149" s="466" t="s">
        <v>905</v>
      </c>
      <c r="C149" s="466"/>
      <c r="D149" s="263"/>
      <c r="E149" s="264"/>
      <c r="F149" s="264"/>
      <c r="G149" s="265"/>
      <c r="H149" s="265"/>
      <c r="I149" s="265"/>
      <c r="J149" s="265"/>
    </row>
    <row r="150" spans="1:10">
      <c r="A150" s="245"/>
      <c r="B150" s="467" t="s">
        <v>898</v>
      </c>
      <c r="C150" s="261" t="s">
        <v>807</v>
      </c>
      <c r="D150" s="259"/>
      <c r="E150" s="259"/>
      <c r="F150" s="259"/>
      <c r="G150" s="260"/>
      <c r="H150" s="260"/>
      <c r="I150" s="422" t="s">
        <v>961</v>
      </c>
      <c r="J150" s="422" t="s">
        <v>961</v>
      </c>
    </row>
    <row r="151" spans="1:10">
      <c r="A151" s="245"/>
      <c r="B151" s="467"/>
      <c r="C151" s="261" t="s">
        <v>808</v>
      </c>
      <c r="D151" s="259"/>
      <c r="E151" s="259"/>
      <c r="F151" s="259"/>
      <c r="G151" s="260"/>
      <c r="H151" s="260"/>
      <c r="I151" s="422" t="s">
        <v>961</v>
      </c>
      <c r="J151" s="422" t="s">
        <v>961</v>
      </c>
    </row>
    <row r="152" spans="1:10">
      <c r="A152" s="245"/>
      <c r="B152" s="467" t="s">
        <v>903</v>
      </c>
      <c r="C152" s="261" t="s">
        <v>807</v>
      </c>
      <c r="D152" s="259"/>
      <c r="E152" s="259"/>
      <c r="F152" s="259"/>
      <c r="G152" s="260"/>
      <c r="H152" s="260"/>
      <c r="I152" s="422" t="s">
        <v>961</v>
      </c>
      <c r="J152" s="422" t="s">
        <v>961</v>
      </c>
    </row>
    <row r="153" spans="1:10">
      <c r="A153" s="245"/>
      <c r="B153" s="467"/>
      <c r="C153" s="261" t="s">
        <v>808</v>
      </c>
      <c r="D153" s="259"/>
      <c r="E153" s="259"/>
      <c r="F153" s="259"/>
      <c r="G153" s="260"/>
      <c r="H153" s="260"/>
      <c r="I153" s="422" t="s">
        <v>961</v>
      </c>
      <c r="J153" s="422" t="s">
        <v>961</v>
      </c>
    </row>
    <row r="154" spans="1:10">
      <c r="A154" s="245"/>
      <c r="B154" s="467" t="s">
        <v>904</v>
      </c>
      <c r="C154" s="261" t="s">
        <v>807</v>
      </c>
      <c r="D154" s="259"/>
      <c r="E154" s="259"/>
      <c r="F154" s="259"/>
      <c r="G154" s="260"/>
      <c r="H154" s="260"/>
      <c r="I154" s="422" t="s">
        <v>967</v>
      </c>
      <c r="J154" s="422" t="s">
        <v>967</v>
      </c>
    </row>
    <row r="155" spans="1:10">
      <c r="A155" s="245"/>
      <c r="B155" s="467"/>
      <c r="C155" s="261" t="s">
        <v>808</v>
      </c>
      <c r="D155" s="259"/>
      <c r="E155" s="259"/>
      <c r="F155" s="259"/>
      <c r="G155" s="260"/>
      <c r="H155" s="260"/>
      <c r="I155" s="422" t="s">
        <v>966</v>
      </c>
      <c r="J155" s="422" t="s">
        <v>966</v>
      </c>
    </row>
    <row r="156" spans="1:10">
      <c r="A156" s="254">
        <v>10</v>
      </c>
      <c r="B156" s="459" t="s">
        <v>906</v>
      </c>
      <c r="C156" s="459"/>
      <c r="D156" s="459"/>
      <c r="E156" s="255"/>
      <c r="F156" s="255"/>
      <c r="G156" s="256"/>
      <c r="H156" s="256"/>
      <c r="I156" s="256"/>
      <c r="J156" s="256"/>
    </row>
    <row r="157" spans="1:10">
      <c r="A157" s="245"/>
      <c r="B157" s="463" t="s">
        <v>907</v>
      </c>
      <c r="C157" s="463"/>
      <c r="D157" s="259"/>
      <c r="E157" s="259"/>
      <c r="F157" s="259"/>
      <c r="G157" s="260"/>
      <c r="H157" s="260"/>
      <c r="I157" s="422" t="s">
        <v>966</v>
      </c>
      <c r="J157" s="422" t="s">
        <v>966</v>
      </c>
    </row>
    <row r="158" spans="1:10">
      <c r="A158" s="245"/>
      <c r="B158" s="463" t="s">
        <v>908</v>
      </c>
      <c r="C158" s="463"/>
      <c r="D158" s="259"/>
      <c r="E158" s="259"/>
      <c r="F158" s="259"/>
      <c r="G158" s="260"/>
      <c r="H158" s="260"/>
      <c r="I158" s="422" t="s">
        <v>966</v>
      </c>
      <c r="J158" s="422" t="s">
        <v>966</v>
      </c>
    </row>
    <row r="159" spans="1:10">
      <c r="A159" s="245"/>
      <c r="B159" s="466" t="s">
        <v>909</v>
      </c>
      <c r="C159" s="466"/>
      <c r="D159" s="263"/>
      <c r="E159" s="264"/>
      <c r="F159" s="264"/>
      <c r="G159" s="265"/>
      <c r="H159" s="265"/>
      <c r="I159" s="265"/>
      <c r="J159" s="265"/>
    </row>
    <row r="160" spans="1:10">
      <c r="A160" s="245"/>
      <c r="B160" s="467" t="s">
        <v>570</v>
      </c>
      <c r="C160" s="261" t="s">
        <v>910</v>
      </c>
      <c r="D160" s="259"/>
      <c r="E160" s="259"/>
      <c r="F160" s="259"/>
      <c r="G160" s="260"/>
      <c r="H160" s="260"/>
      <c r="I160" s="422" t="s">
        <v>966</v>
      </c>
      <c r="J160" s="422" t="s">
        <v>966</v>
      </c>
    </row>
    <row r="161" spans="1:10">
      <c r="A161" s="245"/>
      <c r="B161" s="467"/>
      <c r="C161" s="261" t="s">
        <v>911</v>
      </c>
      <c r="D161" s="259"/>
      <c r="E161" s="259"/>
      <c r="F161" s="259"/>
      <c r="G161" s="260"/>
      <c r="H161" s="260"/>
      <c r="I161" s="422" t="s">
        <v>967</v>
      </c>
      <c r="J161" s="422" t="s">
        <v>967</v>
      </c>
    </row>
    <row r="162" spans="1:10">
      <c r="A162" s="245"/>
      <c r="B162" s="467" t="s">
        <v>811</v>
      </c>
      <c r="C162" s="261" t="s">
        <v>910</v>
      </c>
      <c r="D162" s="259"/>
      <c r="E162" s="259"/>
      <c r="F162" s="259"/>
      <c r="G162" s="260"/>
      <c r="H162" s="260"/>
      <c r="I162" s="422" t="s">
        <v>967</v>
      </c>
      <c r="J162" s="422" t="s">
        <v>967</v>
      </c>
    </row>
    <row r="163" spans="1:10">
      <c r="A163" s="245"/>
      <c r="B163" s="467"/>
      <c r="C163" s="261" t="s">
        <v>911</v>
      </c>
      <c r="D163" s="259"/>
      <c r="E163" s="259"/>
      <c r="F163" s="259"/>
      <c r="G163" s="260"/>
      <c r="H163" s="260"/>
      <c r="I163" s="422" t="s">
        <v>967</v>
      </c>
      <c r="J163" s="422" t="s">
        <v>967</v>
      </c>
    </row>
    <row r="164" spans="1:10">
      <c r="A164" s="245"/>
      <c r="B164" s="467" t="s">
        <v>889</v>
      </c>
      <c r="C164" s="261" t="s">
        <v>910</v>
      </c>
      <c r="D164" s="259"/>
      <c r="E164" s="259"/>
      <c r="F164" s="259"/>
      <c r="G164" s="260"/>
      <c r="H164" s="260"/>
      <c r="I164" s="422" t="s">
        <v>966</v>
      </c>
      <c r="J164" s="422" t="s">
        <v>966</v>
      </c>
    </row>
    <row r="165" spans="1:10">
      <c r="A165" s="245"/>
      <c r="B165" s="467"/>
      <c r="C165" s="261" t="s">
        <v>911</v>
      </c>
      <c r="D165" s="259"/>
      <c r="E165" s="259"/>
      <c r="F165" s="259"/>
      <c r="G165" s="260"/>
      <c r="H165" s="260"/>
      <c r="I165" s="422" t="s">
        <v>967</v>
      </c>
      <c r="J165" s="422" t="s">
        <v>967</v>
      </c>
    </row>
    <row r="166" spans="1:10">
      <c r="A166" s="245"/>
      <c r="B166" s="468" t="s">
        <v>912</v>
      </c>
      <c r="C166" s="261" t="s">
        <v>913</v>
      </c>
      <c r="D166" s="259"/>
      <c r="E166" s="259"/>
      <c r="F166" s="259"/>
      <c r="G166" s="260"/>
      <c r="H166" s="260"/>
      <c r="I166" s="422" t="s">
        <v>967</v>
      </c>
      <c r="J166" s="422" t="s">
        <v>967</v>
      </c>
    </row>
    <row r="167" spans="1:10">
      <c r="A167" s="245"/>
      <c r="B167" s="468"/>
      <c r="C167" s="261" t="s">
        <v>914</v>
      </c>
      <c r="D167" s="259"/>
      <c r="E167" s="259"/>
      <c r="F167" s="259"/>
      <c r="G167" s="260"/>
      <c r="H167" s="260"/>
      <c r="I167" s="422" t="s">
        <v>966</v>
      </c>
      <c r="J167" s="422" t="s">
        <v>966</v>
      </c>
    </row>
    <row r="168" spans="1:10">
      <c r="A168" s="245"/>
      <c r="B168" s="468"/>
      <c r="C168" s="261" t="s">
        <v>915</v>
      </c>
      <c r="D168" s="259"/>
      <c r="E168" s="259"/>
      <c r="F168" s="259"/>
      <c r="G168" s="260"/>
      <c r="H168" s="260"/>
      <c r="I168" s="422" t="s">
        <v>967</v>
      </c>
      <c r="J168" s="422" t="s">
        <v>967</v>
      </c>
    </row>
    <row r="169" spans="1:10" ht="14.1" customHeight="1">
      <c r="A169" s="245"/>
      <c r="B169" s="469" t="s">
        <v>916</v>
      </c>
      <c r="C169" s="266" t="s">
        <v>917</v>
      </c>
      <c r="D169" s="259"/>
      <c r="E169" s="259"/>
      <c r="F169" s="259"/>
      <c r="G169" s="260"/>
      <c r="H169" s="260"/>
      <c r="I169" s="422" t="s">
        <v>966</v>
      </c>
      <c r="J169" s="422" t="s">
        <v>966</v>
      </c>
    </row>
    <row r="170" spans="1:10">
      <c r="A170" s="245"/>
      <c r="B170" s="469"/>
      <c r="C170" s="266" t="s">
        <v>918</v>
      </c>
      <c r="D170" s="259"/>
      <c r="E170" s="259"/>
      <c r="F170" s="259"/>
      <c r="G170" s="260"/>
      <c r="H170" s="260"/>
      <c r="I170" s="422" t="s">
        <v>967</v>
      </c>
      <c r="J170" s="422" t="s">
        <v>967</v>
      </c>
    </row>
    <row r="171" spans="1:10">
      <c r="A171" s="245"/>
      <c r="B171" s="469"/>
      <c r="C171" s="261" t="s">
        <v>919</v>
      </c>
      <c r="D171" s="259"/>
      <c r="E171" s="259"/>
      <c r="F171" s="259"/>
      <c r="G171" s="260"/>
      <c r="H171" s="260"/>
      <c r="I171" s="422" t="s">
        <v>966</v>
      </c>
      <c r="J171" s="422" t="s">
        <v>966</v>
      </c>
    </row>
    <row r="172" spans="1:10">
      <c r="A172" s="245"/>
      <c r="B172" s="463" t="s">
        <v>920</v>
      </c>
      <c r="C172" s="463"/>
      <c r="D172" s="259"/>
      <c r="E172" s="259"/>
      <c r="F172" s="259"/>
      <c r="G172" s="260"/>
      <c r="H172" s="260"/>
      <c r="I172" s="422" t="s">
        <v>966</v>
      </c>
      <c r="J172" s="422" t="s">
        <v>966</v>
      </c>
    </row>
    <row r="173" spans="1:10">
      <c r="A173" s="245"/>
      <c r="B173" s="462" t="s">
        <v>921</v>
      </c>
      <c r="C173" s="261" t="s">
        <v>807</v>
      </c>
      <c r="D173" s="259"/>
      <c r="E173" s="259"/>
      <c r="F173" s="259"/>
      <c r="G173" s="260"/>
      <c r="H173" s="260"/>
      <c r="I173" s="422" t="s">
        <v>967</v>
      </c>
      <c r="J173" s="422" t="s">
        <v>967</v>
      </c>
    </row>
    <row r="174" spans="1:10">
      <c r="A174" s="245"/>
      <c r="B174" s="462"/>
      <c r="C174" s="261" t="s">
        <v>808</v>
      </c>
      <c r="D174" s="259"/>
      <c r="E174" s="259"/>
      <c r="F174" s="259"/>
      <c r="G174" s="260"/>
      <c r="H174" s="260"/>
      <c r="I174" s="422" t="s">
        <v>966</v>
      </c>
      <c r="J174" s="422" t="s">
        <v>966</v>
      </c>
    </row>
    <row r="175" spans="1:10">
      <c r="A175" s="245"/>
      <c r="B175" s="257" t="s">
        <v>922</v>
      </c>
      <c r="C175" s="261"/>
      <c r="D175" s="259"/>
      <c r="E175" s="259"/>
      <c r="F175" s="259"/>
      <c r="G175" s="260"/>
      <c r="H175" s="260"/>
      <c r="I175" s="422" t="s">
        <v>966</v>
      </c>
      <c r="J175" s="422" t="s">
        <v>966</v>
      </c>
    </row>
    <row r="176" spans="1:10">
      <c r="A176" s="245"/>
      <c r="B176" s="462" t="s">
        <v>854</v>
      </c>
      <c r="C176" s="261" t="s">
        <v>807</v>
      </c>
      <c r="D176" s="259"/>
      <c r="E176" s="259"/>
      <c r="F176" s="259"/>
      <c r="G176" s="260"/>
      <c r="H176" s="260"/>
      <c r="I176" s="422" t="s">
        <v>967</v>
      </c>
      <c r="J176" s="422" t="s">
        <v>967</v>
      </c>
    </row>
    <row r="177" spans="1:10">
      <c r="A177" s="245"/>
      <c r="B177" s="462"/>
      <c r="C177" s="261" t="s">
        <v>808</v>
      </c>
      <c r="D177" s="259"/>
      <c r="E177" s="259"/>
      <c r="F177" s="259"/>
      <c r="G177" s="260"/>
      <c r="H177" s="260"/>
      <c r="I177" s="422" t="s">
        <v>966</v>
      </c>
      <c r="J177" s="422" t="s">
        <v>966</v>
      </c>
    </row>
    <row r="178" spans="1:10">
      <c r="A178" s="254">
        <v>11</v>
      </c>
      <c r="B178" s="459" t="s">
        <v>923</v>
      </c>
      <c r="C178" s="459"/>
      <c r="D178" s="459"/>
      <c r="E178" s="255"/>
      <c r="F178" s="255"/>
      <c r="G178" s="256"/>
      <c r="H178" s="256"/>
      <c r="I178" s="256"/>
      <c r="J178" s="256"/>
    </row>
    <row r="179" spans="1:10">
      <c r="A179" s="245"/>
      <c r="B179" s="263" t="s">
        <v>924</v>
      </c>
      <c r="C179" s="263"/>
      <c r="D179" s="267"/>
      <c r="E179" s="264"/>
      <c r="F179" s="264"/>
      <c r="G179" s="265"/>
      <c r="H179" s="265"/>
      <c r="I179" s="265"/>
      <c r="J179" s="265"/>
    </row>
    <row r="180" spans="1:10">
      <c r="A180" s="245"/>
      <c r="B180" s="470" t="s">
        <v>570</v>
      </c>
      <c r="C180" s="470"/>
      <c r="D180" s="259"/>
      <c r="E180" s="259"/>
      <c r="F180" s="259"/>
      <c r="G180" s="260"/>
      <c r="H180" s="260"/>
      <c r="I180" s="422" t="s">
        <v>966</v>
      </c>
      <c r="J180" s="422" t="s">
        <v>966</v>
      </c>
    </row>
    <row r="181" spans="1:10">
      <c r="A181" s="245"/>
      <c r="B181" s="470" t="s">
        <v>811</v>
      </c>
      <c r="C181" s="470"/>
      <c r="D181" s="259"/>
      <c r="E181" s="259"/>
      <c r="F181" s="259"/>
      <c r="G181" s="260"/>
      <c r="H181" s="260"/>
      <c r="I181" s="422" t="s">
        <v>967</v>
      </c>
      <c r="J181" s="422" t="s">
        <v>967</v>
      </c>
    </row>
    <row r="182" spans="1:10">
      <c r="A182" s="245"/>
      <c r="B182" s="470" t="s">
        <v>889</v>
      </c>
      <c r="C182" s="470"/>
      <c r="D182" s="259"/>
      <c r="E182" s="259"/>
      <c r="F182" s="259"/>
      <c r="G182" s="260"/>
      <c r="H182" s="260"/>
      <c r="I182" s="422" t="s">
        <v>966</v>
      </c>
      <c r="J182" s="422" t="s">
        <v>966</v>
      </c>
    </row>
    <row r="183" spans="1:10">
      <c r="A183" s="245"/>
      <c r="B183" s="466" t="s">
        <v>925</v>
      </c>
      <c r="C183" s="466"/>
      <c r="D183" s="263"/>
      <c r="E183" s="264"/>
      <c r="F183" s="264"/>
      <c r="G183" s="265"/>
      <c r="H183" s="265"/>
      <c r="I183" s="265"/>
      <c r="J183" s="265"/>
    </row>
    <row r="184" spans="1:10">
      <c r="A184" s="245"/>
      <c r="B184" s="467" t="s">
        <v>570</v>
      </c>
      <c r="C184" s="261" t="s">
        <v>807</v>
      </c>
      <c r="D184" s="259"/>
      <c r="E184" s="259"/>
      <c r="F184" s="259"/>
      <c r="G184" s="260"/>
      <c r="H184" s="260"/>
      <c r="I184" s="422" t="s">
        <v>966</v>
      </c>
      <c r="J184" s="422" t="s">
        <v>966</v>
      </c>
    </row>
    <row r="185" spans="1:10">
      <c r="A185" s="245"/>
      <c r="B185" s="467"/>
      <c r="C185" s="261" t="s">
        <v>808</v>
      </c>
      <c r="D185" s="259"/>
      <c r="E185" s="259"/>
      <c r="F185" s="259"/>
      <c r="G185" s="260"/>
      <c r="H185" s="260"/>
      <c r="I185" s="422" t="s">
        <v>966</v>
      </c>
      <c r="J185" s="422" t="s">
        <v>966</v>
      </c>
    </row>
    <row r="186" spans="1:10">
      <c r="A186" s="245"/>
      <c r="B186" s="467" t="s">
        <v>811</v>
      </c>
      <c r="C186" s="261" t="s">
        <v>807</v>
      </c>
      <c r="D186" s="259"/>
      <c r="E186" s="259"/>
      <c r="F186" s="259"/>
      <c r="G186" s="260"/>
      <c r="H186" s="260"/>
      <c r="I186" s="422" t="s">
        <v>967</v>
      </c>
      <c r="J186" s="422" t="s">
        <v>967</v>
      </c>
    </row>
    <row r="187" spans="1:10">
      <c r="A187" s="245"/>
      <c r="B187" s="467"/>
      <c r="C187" s="261" t="s">
        <v>808</v>
      </c>
      <c r="D187" s="259"/>
      <c r="E187" s="259"/>
      <c r="F187" s="259"/>
      <c r="G187" s="260"/>
      <c r="H187" s="260"/>
      <c r="I187" s="422" t="s">
        <v>967</v>
      </c>
      <c r="J187" s="422" t="s">
        <v>967</v>
      </c>
    </row>
    <row r="188" spans="1:10">
      <c r="A188" s="245"/>
      <c r="B188" s="467" t="s">
        <v>889</v>
      </c>
      <c r="C188" s="261" t="s">
        <v>807</v>
      </c>
      <c r="D188" s="259"/>
      <c r="E188" s="259"/>
      <c r="F188" s="259"/>
      <c r="G188" s="260"/>
      <c r="H188" s="260"/>
      <c r="I188" s="422" t="s">
        <v>966</v>
      </c>
      <c r="J188" s="422" t="s">
        <v>966</v>
      </c>
    </row>
    <row r="189" spans="1:10">
      <c r="A189" s="245"/>
      <c r="B189" s="467"/>
      <c r="C189" s="261" t="s">
        <v>808</v>
      </c>
      <c r="D189" s="259"/>
      <c r="E189" s="259"/>
      <c r="F189" s="259"/>
      <c r="G189" s="260"/>
      <c r="H189" s="260"/>
      <c r="I189" s="422" t="s">
        <v>966</v>
      </c>
      <c r="J189" s="422" t="s">
        <v>966</v>
      </c>
    </row>
    <row r="190" spans="1:10">
      <c r="A190" s="245"/>
      <c r="B190" s="466" t="s">
        <v>926</v>
      </c>
      <c r="C190" s="466"/>
      <c r="D190" s="263"/>
      <c r="E190" s="264"/>
      <c r="F190" s="264"/>
      <c r="G190" s="265"/>
      <c r="H190" s="265"/>
      <c r="I190" s="265"/>
      <c r="J190" s="265"/>
    </row>
    <row r="191" spans="1:10">
      <c r="A191" s="245"/>
      <c r="B191" s="470" t="s">
        <v>570</v>
      </c>
      <c r="C191" s="470"/>
      <c r="D191" s="259"/>
      <c r="E191" s="259"/>
      <c r="F191" s="259"/>
      <c r="G191" s="260"/>
      <c r="H191" s="260"/>
      <c r="I191" s="422" t="s">
        <v>966</v>
      </c>
      <c r="J191" s="422" t="s">
        <v>966</v>
      </c>
    </row>
    <row r="192" spans="1:10">
      <c r="A192" s="245"/>
      <c r="B192" s="470" t="s">
        <v>811</v>
      </c>
      <c r="C192" s="470"/>
      <c r="D192" s="259"/>
      <c r="E192" s="259"/>
      <c r="F192" s="259"/>
      <c r="G192" s="260"/>
      <c r="H192" s="260"/>
      <c r="I192" s="422" t="s">
        <v>967</v>
      </c>
      <c r="J192" s="422" t="s">
        <v>967</v>
      </c>
    </row>
    <row r="193" spans="1:10">
      <c r="A193" s="245"/>
      <c r="B193" s="470" t="s">
        <v>889</v>
      </c>
      <c r="C193" s="470"/>
      <c r="D193" s="259"/>
      <c r="E193" s="259"/>
      <c r="F193" s="259"/>
      <c r="G193" s="260"/>
      <c r="H193" s="260"/>
      <c r="I193" s="422" t="s">
        <v>967</v>
      </c>
      <c r="J193" s="422" t="s">
        <v>967</v>
      </c>
    </row>
    <row r="194" spans="1:10">
      <c r="A194" s="245"/>
      <c r="B194" s="466" t="s">
        <v>927</v>
      </c>
      <c r="C194" s="466"/>
      <c r="D194" s="263"/>
      <c r="E194" s="264"/>
      <c r="F194" s="264"/>
      <c r="G194" s="265"/>
      <c r="H194" s="265"/>
      <c r="I194" s="265"/>
      <c r="J194" s="265"/>
    </row>
    <row r="195" spans="1:10">
      <c r="A195" s="245"/>
      <c r="B195" s="470" t="s">
        <v>570</v>
      </c>
      <c r="C195" s="470"/>
      <c r="D195" s="259"/>
      <c r="E195" s="259"/>
      <c r="F195" s="259"/>
      <c r="G195" s="260"/>
      <c r="H195" s="260"/>
      <c r="I195" s="422" t="s">
        <v>966</v>
      </c>
      <c r="J195" s="422" t="s">
        <v>966</v>
      </c>
    </row>
    <row r="196" spans="1:10">
      <c r="A196" s="245"/>
      <c r="B196" s="470" t="s">
        <v>811</v>
      </c>
      <c r="C196" s="470"/>
      <c r="D196" s="259"/>
      <c r="E196" s="259"/>
      <c r="F196" s="259"/>
      <c r="G196" s="260"/>
      <c r="H196" s="260"/>
      <c r="I196" s="422" t="s">
        <v>967</v>
      </c>
      <c r="J196" s="422" t="s">
        <v>967</v>
      </c>
    </row>
    <row r="197" spans="1:10">
      <c r="A197" s="268"/>
      <c r="B197" s="471" t="s">
        <v>889</v>
      </c>
      <c r="C197" s="471"/>
      <c r="D197" s="269"/>
      <c r="E197" s="269"/>
      <c r="F197" s="269"/>
      <c r="G197" s="270"/>
      <c r="H197" s="270"/>
      <c r="I197" s="422" t="s">
        <v>966</v>
      </c>
      <c r="J197" s="422" t="s">
        <v>966</v>
      </c>
    </row>
    <row r="198" spans="1:10">
      <c r="A198" s="371"/>
      <c r="B198" s="453" t="s">
        <v>38</v>
      </c>
      <c r="C198" s="453"/>
      <c r="D198" s="453"/>
      <c r="E198" s="372"/>
      <c r="F198" s="372"/>
      <c r="G198" s="373"/>
      <c r="H198" s="373"/>
      <c r="I198" s="373"/>
      <c r="J198" s="373"/>
    </row>
    <row r="199" spans="1:10">
      <c r="A199" s="374"/>
      <c r="B199" s="375" t="s">
        <v>38</v>
      </c>
      <c r="C199" s="375"/>
      <c r="D199" s="370" t="s">
        <v>39</v>
      </c>
      <c r="E199" s="370" t="s">
        <v>39</v>
      </c>
      <c r="F199" s="370" t="s">
        <v>39</v>
      </c>
      <c r="G199" s="370" t="s">
        <v>39</v>
      </c>
      <c r="H199" s="370" t="s">
        <v>39</v>
      </c>
      <c r="I199" s="370" t="s">
        <v>39</v>
      </c>
      <c r="J199" s="370" t="s">
        <v>39</v>
      </c>
    </row>
  </sheetData>
  <mergeCells count="102">
    <mergeCell ref="A1:J1"/>
    <mergeCell ref="A3:J3"/>
    <mergeCell ref="B23:B26"/>
    <mergeCell ref="B37:B38"/>
    <mergeCell ref="B61:B62"/>
    <mergeCell ref="B112:B114"/>
    <mergeCell ref="B78:C78"/>
    <mergeCell ref="B79:B81"/>
    <mergeCell ref="B82:B83"/>
    <mergeCell ref="B84:B85"/>
    <mergeCell ref="B119:B120"/>
    <mergeCell ref="B99:B102"/>
    <mergeCell ref="B103:B104"/>
    <mergeCell ref="B105:D105"/>
    <mergeCell ref="B106:B108"/>
    <mergeCell ref="B109:B111"/>
    <mergeCell ref="B193:C193"/>
    <mergeCell ref="B194:C194"/>
    <mergeCell ref="B195:C195"/>
    <mergeCell ref="B196:C196"/>
    <mergeCell ref="B197:C197"/>
    <mergeCell ref="B184:B185"/>
    <mergeCell ref="B186:B187"/>
    <mergeCell ref="B188:B189"/>
    <mergeCell ref="B190:C190"/>
    <mergeCell ref="B191:C191"/>
    <mergeCell ref="B169:B171"/>
    <mergeCell ref="B172:C172"/>
    <mergeCell ref="B173:B174"/>
    <mergeCell ref="B192:C192"/>
    <mergeCell ref="B176:B177"/>
    <mergeCell ref="B178:D178"/>
    <mergeCell ref="B180:C180"/>
    <mergeCell ref="B181:C181"/>
    <mergeCell ref="B182:C182"/>
    <mergeCell ref="B183:C183"/>
    <mergeCell ref="B158:C158"/>
    <mergeCell ref="B159:C159"/>
    <mergeCell ref="B160:B161"/>
    <mergeCell ref="B162:B163"/>
    <mergeCell ref="B164:B165"/>
    <mergeCell ref="B166:B168"/>
    <mergeCell ref="B149:C149"/>
    <mergeCell ref="B150:B151"/>
    <mergeCell ref="B152:B153"/>
    <mergeCell ref="B154:B155"/>
    <mergeCell ref="B156:D156"/>
    <mergeCell ref="B157:C157"/>
    <mergeCell ref="B132:B133"/>
    <mergeCell ref="B134:B136"/>
    <mergeCell ref="B137:C137"/>
    <mergeCell ref="B138:B141"/>
    <mergeCell ref="B142:B145"/>
    <mergeCell ref="B146:B148"/>
    <mergeCell ref="B123:D123"/>
    <mergeCell ref="B124:C124"/>
    <mergeCell ref="B125:B126"/>
    <mergeCell ref="B127:B128"/>
    <mergeCell ref="B129:B130"/>
    <mergeCell ref="B131:D131"/>
    <mergeCell ref="B75:B76"/>
    <mergeCell ref="B77:D77"/>
    <mergeCell ref="B121:B122"/>
    <mergeCell ref="B90:C90"/>
    <mergeCell ref="B91:B92"/>
    <mergeCell ref="B93:D93"/>
    <mergeCell ref="B94:C94"/>
    <mergeCell ref="B95:B96"/>
    <mergeCell ref="B97:B98"/>
    <mergeCell ref="B115:B118"/>
    <mergeCell ref="B57:B58"/>
    <mergeCell ref="B59:B60"/>
    <mergeCell ref="B63:B64"/>
    <mergeCell ref="B65:B66"/>
    <mergeCell ref="B86:D86"/>
    <mergeCell ref="B87:B89"/>
    <mergeCell ref="B67:D67"/>
    <mergeCell ref="B68:B69"/>
    <mergeCell ref="B70:B72"/>
    <mergeCell ref="B73:B74"/>
    <mergeCell ref="B47:B48"/>
    <mergeCell ref="B49:B50"/>
    <mergeCell ref="B51:D51"/>
    <mergeCell ref="B52:B53"/>
    <mergeCell ref="B54:B55"/>
    <mergeCell ref="B56:C56"/>
    <mergeCell ref="B35:B36"/>
    <mergeCell ref="B39:B40"/>
    <mergeCell ref="B41:C41"/>
    <mergeCell ref="B42:B43"/>
    <mergeCell ref="B44:B45"/>
    <mergeCell ref="B46:C46"/>
    <mergeCell ref="B198:D198"/>
    <mergeCell ref="A2:D2"/>
    <mergeCell ref="B6:D6"/>
    <mergeCell ref="B8:B13"/>
    <mergeCell ref="B14:B16"/>
    <mergeCell ref="B17:B22"/>
    <mergeCell ref="B27:B29"/>
    <mergeCell ref="B30:B31"/>
    <mergeCell ref="B32:C32"/>
    <mergeCell ref="B33:B34"/>
  </mergeCells>
  <pageMargins left="0.38" right="0.25" top="0.75" bottom="0.75" header="0.51180555555555596" footer="0.51180555555555596"/>
  <pageSetup scale="50" firstPageNumber="0" orientation="portrait" horizontalDpi="300" verticalDpi="300" r:id="rId1"/>
  <headerFooter alignWithMargins="0"/>
  <rowBreaks count="2" manualBreakCount="2">
    <brk id="66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211</vt:i4>
      </vt:variant>
    </vt:vector>
  </HeadingPairs>
  <TitlesOfParts>
    <vt:vector size="217" baseType="lpstr">
      <vt:lpstr>General Info</vt:lpstr>
      <vt:lpstr>water</vt:lpstr>
      <vt:lpstr>sewerage</vt:lpstr>
      <vt:lpstr>swm</vt:lpstr>
      <vt:lpstr>Equity Related Information</vt:lpstr>
      <vt:lpstr>Reliability</vt:lpstr>
      <vt:lpstr>_2009EQ</vt:lpstr>
      <vt:lpstr>_2009Gen</vt:lpstr>
      <vt:lpstr>_2009SWM</vt:lpstr>
      <vt:lpstr>_2009W</vt:lpstr>
      <vt:lpstr>_2009WW</vt:lpstr>
      <vt:lpstr>_2010EQ</vt:lpstr>
      <vt:lpstr>_2010Gen</vt:lpstr>
      <vt:lpstr>_2010SWM</vt:lpstr>
      <vt:lpstr>_2010W</vt:lpstr>
      <vt:lpstr>_2010WW</vt:lpstr>
      <vt:lpstr>_2011EQ</vt:lpstr>
      <vt:lpstr>_2011Gen</vt:lpstr>
      <vt:lpstr>_2011SWM</vt:lpstr>
      <vt:lpstr>_2011W</vt:lpstr>
      <vt:lpstr>_2011WW</vt:lpstr>
      <vt:lpstr>_2012EQ</vt:lpstr>
      <vt:lpstr>_2012Gen</vt:lpstr>
      <vt:lpstr>_2012SWM</vt:lpstr>
      <vt:lpstr>_2012W</vt:lpstr>
      <vt:lpstr>_2012WW</vt:lpstr>
      <vt:lpstr>_2013EQ</vt:lpstr>
      <vt:lpstr>_2013Gen</vt:lpstr>
      <vt:lpstr>_2013SWM</vt:lpstr>
      <vt:lpstr>_2013W</vt:lpstr>
      <vt:lpstr>_2013WW</vt:lpstr>
      <vt:lpstr>_2014EQ</vt:lpstr>
      <vt:lpstr>_2014Gen</vt:lpstr>
      <vt:lpstr>_2014SWM</vt:lpstr>
      <vt:lpstr>_2014W</vt:lpstr>
      <vt:lpstr>_2014WW</vt:lpstr>
      <vt:lpstr>_2015EQ</vt:lpstr>
      <vt:lpstr>_2015Gen</vt:lpstr>
      <vt:lpstr>_2015SWM</vt:lpstr>
      <vt:lpstr>_2015W</vt:lpstr>
      <vt:lpstr>_2015WW</vt:lpstr>
      <vt:lpstr>_ActualSewageSecondaryTreated</vt:lpstr>
      <vt:lpstr>_AggPrimarySTPinstallCap</vt:lpstr>
      <vt:lpstr>_AggSecondarySTPinstallCap</vt:lpstr>
      <vt:lpstr>_AggSTPinstallCap</vt:lpstr>
      <vt:lpstr>_AreaJuris</vt:lpstr>
      <vt:lpstr>_AreaJuris2013</vt:lpstr>
      <vt:lpstr>_AvgDailySupplyHrs</vt:lpstr>
      <vt:lpstr>_AvgMonthlySupplyDays</vt:lpstr>
      <vt:lpstr>_ClosedDrainsAreaCoverage</vt:lpstr>
      <vt:lpstr>_ClosedDrainsLen</vt:lpstr>
      <vt:lpstr>_CommunToiletFuncSeatsCity</vt:lpstr>
      <vt:lpstr>_CommunToiletFuncSeatsOnSewerDisposal</vt:lpstr>
      <vt:lpstr>_CommunToiletHH</vt:lpstr>
      <vt:lpstr>_CommunToiletSeatsCity</vt:lpstr>
      <vt:lpstr>_CommunToiletSeatsHHSlum</vt:lpstr>
      <vt:lpstr>_ConxnsComm_Inst</vt:lpstr>
      <vt:lpstr>_ConxnsDomesticNonSlum</vt:lpstr>
      <vt:lpstr>_ConxnsDomesticSlum</vt:lpstr>
      <vt:lpstr>_ConxnsHHDomesticNonSlum</vt:lpstr>
      <vt:lpstr>_ConxnsMeteredFuncDomesticApart</vt:lpstr>
      <vt:lpstr>_ConxnsMeteredFuncDomesticNonSlum</vt:lpstr>
      <vt:lpstr>_ConxnsMeteredFuncDomesticSociety</vt:lpstr>
      <vt:lpstr>_ConxnsMeteredFuncOther</vt:lpstr>
      <vt:lpstr>_ConxnsMeteredNonFuncDomesticApart</vt:lpstr>
      <vt:lpstr>_ConxnsMeteredNonFuncDomesticNonSlum</vt:lpstr>
      <vt:lpstr>_ConxnsMeteredNonFuncDomesticSociety</vt:lpstr>
      <vt:lpstr>_ConxnsMeteredNonFuncOther</vt:lpstr>
      <vt:lpstr>_ConxnsMiscPublic</vt:lpstr>
      <vt:lpstr>_ConxnsUnMeteredDomesticApart</vt:lpstr>
      <vt:lpstr>_ConxnsUnMeteredDomesticNonSlum</vt:lpstr>
      <vt:lpstr>_ConxnsUnMeteredDomesticSociety</vt:lpstr>
      <vt:lpstr>_ConxnsUnMeteredOther</vt:lpstr>
      <vt:lpstr>_DistribNtwrkCoverage</vt:lpstr>
      <vt:lpstr>_DistribNtwrkInternalSlum</vt:lpstr>
      <vt:lpstr>_DistribNtwrkLen</vt:lpstr>
      <vt:lpstr>_FloodingFreq</vt:lpstr>
      <vt:lpstr>_FloodingPoints</vt:lpstr>
      <vt:lpstr>_GreyWaterTreatedReused</vt:lpstr>
      <vt:lpstr>_GreyWaterTreatmentFuncCap</vt:lpstr>
      <vt:lpstr>_GreyWaterTreatmentInstalledCap</vt:lpstr>
      <vt:lpstr>_GreyWaterTreatmentType</vt:lpstr>
      <vt:lpstr>_hasSeptageTrtmntFacility</vt:lpstr>
      <vt:lpstr>_HHCensus2001</vt:lpstr>
      <vt:lpstr>_HHCensus2011</vt:lpstr>
      <vt:lpstr>_HHConxnsUnauthorised</vt:lpstr>
      <vt:lpstr>_HHIL</vt:lpstr>
      <vt:lpstr>_HHILSlum</vt:lpstr>
      <vt:lpstr>_HHSlumCensus2001</vt:lpstr>
      <vt:lpstr>_HHSlumCensus2011</vt:lpstr>
      <vt:lpstr>_InternalSeweredSlums</vt:lpstr>
      <vt:lpstr>_NewConxnChrg.50Comm</vt:lpstr>
      <vt:lpstr>_NewConxnChrg.50DomesticNonSlum</vt:lpstr>
      <vt:lpstr>_NewConxnChrg.50DomesticSlum</vt:lpstr>
      <vt:lpstr>_NewConxnChrg.50Ind</vt:lpstr>
      <vt:lpstr>_NewConxnChrg.50Inst</vt:lpstr>
      <vt:lpstr>_NonResiProp</vt:lpstr>
      <vt:lpstr>_OpenDrainsAreaCoverage</vt:lpstr>
      <vt:lpstr>_OpenDrainsLen</vt:lpstr>
      <vt:lpstr>_PopCensus2001</vt:lpstr>
      <vt:lpstr>_PopCensus2011</vt:lpstr>
      <vt:lpstr>_PopSlumCensus2001</vt:lpstr>
      <vt:lpstr>_PopSlumCensus2011</vt:lpstr>
      <vt:lpstr>_Properties</vt:lpstr>
      <vt:lpstr>_PropertiesOnsiteDisposal</vt:lpstr>
      <vt:lpstr>_PropertiesSewerConxn</vt:lpstr>
      <vt:lpstr>_PvtEmptierTrucks</vt:lpstr>
      <vt:lpstr>_QtyTreatedSewageReused</vt:lpstr>
      <vt:lpstr>_SeptageTreatedReusedQuantityYearly</vt:lpstr>
      <vt:lpstr>_SeptageTrtmntFacilityInstallCap</vt:lpstr>
      <vt:lpstr>_SeptageTrtmntFacilityQuantityYearly</vt:lpstr>
      <vt:lpstr>_SeptageTrtmntFacilityType</vt:lpstr>
      <vt:lpstr>_SepticDrainsSettlSewerHHNonSlum</vt:lpstr>
      <vt:lpstr>_SepticSoakpitHHNonSlum</vt:lpstr>
      <vt:lpstr>_SepticTankProperties</vt:lpstr>
      <vt:lpstr>_SewageGen</vt:lpstr>
      <vt:lpstr>_SewerArea</vt:lpstr>
      <vt:lpstr>_SewerConxnNonResi</vt:lpstr>
      <vt:lpstr>_SewerConxnResi</vt:lpstr>
      <vt:lpstr>_SewerConxnSlum</vt:lpstr>
      <vt:lpstr>_SewerConxnUnauthorEst</vt:lpstr>
      <vt:lpstr>_SewerLen</vt:lpstr>
      <vt:lpstr>_Slums</vt:lpstr>
      <vt:lpstr>_SoakPitProperties</vt:lpstr>
      <vt:lpstr>_SrcBulkRawDrawal</vt:lpstr>
      <vt:lpstr>_SrcBulkTreatedDrawal</vt:lpstr>
      <vt:lpstr>_SrcGroundProdxn</vt:lpstr>
      <vt:lpstr>_SrcNonULBDrawal</vt:lpstr>
      <vt:lpstr>_SrcOtherProdxn</vt:lpstr>
      <vt:lpstr>_SrcSurfaceOtherDrawal</vt:lpstr>
      <vt:lpstr>_SrcSurfaceOwnDrawal</vt:lpstr>
      <vt:lpstr>_SrcSurfaceProdxn</vt:lpstr>
      <vt:lpstr>_SWM3wCap</vt:lpstr>
      <vt:lpstr>_SWM3wNum</vt:lpstr>
      <vt:lpstr>_SWM3wTrips</vt:lpstr>
      <vt:lpstr>_SWMComplaintRcvdYearly</vt:lpstr>
      <vt:lpstr>_SWMComplaintResolvedYearly</vt:lpstr>
      <vt:lpstr>_SWMDumperCap</vt:lpstr>
      <vt:lpstr>_SWMDumperNum</vt:lpstr>
      <vt:lpstr>_SWMDumperTrips</vt:lpstr>
      <vt:lpstr>_SWMFreqEmptySecBin</vt:lpstr>
      <vt:lpstr>_SWMGeneratedMonthlyEst</vt:lpstr>
      <vt:lpstr>_SWMMiniLorCap</vt:lpstr>
      <vt:lpstr>_SWMMiniLorNum</vt:lpstr>
      <vt:lpstr>_SWMMiniLorTrips</vt:lpstr>
      <vt:lpstr>_SWMPriColxnD2DComm</vt:lpstr>
      <vt:lpstr>_SWMPriColxnD2DHHNonSlum</vt:lpstr>
      <vt:lpstr>_SWMPriColxnD2DHHSlum</vt:lpstr>
      <vt:lpstr>_SWMPriColxnD2DHotelRest</vt:lpstr>
      <vt:lpstr>_SWMPriColxnD2DOther</vt:lpstr>
      <vt:lpstr>_SWMPriColxnD2DTotal</vt:lpstr>
      <vt:lpstr>_SWMPriColxnD2DTotalEstIfTypeUnknown</vt:lpstr>
      <vt:lpstr>_SWMProcessed</vt:lpstr>
      <vt:lpstr>_SWMProcessingInstalCapMTperMonth</vt:lpstr>
      <vt:lpstr>_SWMProcessingTotalInput</vt:lpstr>
      <vt:lpstr>_SWMPropTax_pc</vt:lpstr>
      <vt:lpstr>_SWMQtyRcvdSeg4Processing</vt:lpstr>
      <vt:lpstr>_SWMrecyclerTakeaway</vt:lpstr>
      <vt:lpstr>_SWMsecondaryColxnBins</vt:lpstr>
      <vt:lpstr>_SWMsecondaryColxnBinsAggCapacity</vt:lpstr>
      <vt:lpstr>_SWMTipperCap</vt:lpstr>
      <vt:lpstr>_SWMTipperNum</vt:lpstr>
      <vt:lpstr>_SWMTipperTrips</vt:lpstr>
      <vt:lpstr>_SWMTrailerCap</vt:lpstr>
      <vt:lpstr>_SWMTrailerNum</vt:lpstr>
      <vt:lpstr>_SWMTrailerTrips</vt:lpstr>
      <vt:lpstr>_SWMTruckCap</vt:lpstr>
      <vt:lpstr>_SWMTruckNum</vt:lpstr>
      <vt:lpstr>_SWMTruckTrips</vt:lpstr>
      <vt:lpstr>_TariffMonthly.50Comm</vt:lpstr>
      <vt:lpstr>_TariffMonthly.50DomesticNonSlum</vt:lpstr>
      <vt:lpstr>_TariffMonthly.50DomesticSlum</vt:lpstr>
      <vt:lpstr>_TariffMonthly.50Ind</vt:lpstr>
      <vt:lpstr>_TariffMonthly.50Inst</vt:lpstr>
      <vt:lpstr>_TariffRsPerKLComm</vt:lpstr>
      <vt:lpstr>_TariffRsPerKLDomesticNonSlum</vt:lpstr>
      <vt:lpstr>_TariffRsPerKLDomesticSlum</vt:lpstr>
      <vt:lpstr>_TariffRsPerKLInd</vt:lpstr>
      <vt:lpstr>_TariffRsPerKLInst</vt:lpstr>
      <vt:lpstr>_TransmissionMainLen</vt:lpstr>
      <vt:lpstr>_TreatedGrndWater</vt:lpstr>
      <vt:lpstr>_TreatedSeptageSamplesPassedYearly</vt:lpstr>
      <vt:lpstr>_TreatedSeptageSamplesTestedYearly</vt:lpstr>
      <vt:lpstr>_TreatedWWsamplesPassedYearly</vt:lpstr>
      <vt:lpstr>_TreatedWWsamplesTestedYearly</vt:lpstr>
      <vt:lpstr>_TrunkMainLen</vt:lpstr>
      <vt:lpstr>_ULBemptierTrucks</vt:lpstr>
      <vt:lpstr>_Wards</vt:lpstr>
      <vt:lpstr>_Wards2013</vt:lpstr>
      <vt:lpstr>_WaterComplaintsResolvedYearly</vt:lpstr>
      <vt:lpstr>_WaterComplaintsYearly</vt:lpstr>
      <vt:lpstr>_WaterSamplesCityYearly</vt:lpstr>
      <vt:lpstr>_WaterSamplesCityYearlyPass</vt:lpstr>
      <vt:lpstr>_WaterSupplyDistribLosses</vt:lpstr>
      <vt:lpstr>_WaterSupplyTransmissionLossEst</vt:lpstr>
      <vt:lpstr>_WTPinstalledCap</vt:lpstr>
      <vt:lpstr>_WTPtotalVolProd</vt:lpstr>
      <vt:lpstr>_WWComplaintsResolvedYearly</vt:lpstr>
      <vt:lpstr>_WWComplaintsYearly</vt:lpstr>
      <vt:lpstr>_WWNewSewerConxnChargDomNonSlum</vt:lpstr>
      <vt:lpstr>_WWNewSewerConxnChargDomSlum</vt:lpstr>
      <vt:lpstr>_WWTariffMonthlyComm</vt:lpstr>
      <vt:lpstr>_WWTariffMonthlyDomesticNonSlum</vt:lpstr>
      <vt:lpstr>_WWTariffMonthlyDomesticSlum</vt:lpstr>
      <vt:lpstr>_WWTariffMonthlyInd</vt:lpstr>
      <vt:lpstr>_WWTariffMonthlyInst</vt:lpstr>
      <vt:lpstr>_WWTariffRsPerKLComm</vt:lpstr>
      <vt:lpstr>_WWTariffRsPerKLDomesticNonSlum</vt:lpstr>
      <vt:lpstr>_WWTariffRsPerKLDomesticSlum</vt:lpstr>
      <vt:lpstr>_WWTariffRsPerKLInd</vt:lpstr>
      <vt:lpstr>_WWTariffRsPerKLInst</vt:lpstr>
      <vt:lpstr>'Equity Related Information'!Print_Area</vt:lpstr>
      <vt:lpstr>'General Info'!Print_Area</vt:lpstr>
      <vt:lpstr>Reliability!Print_Area</vt:lpstr>
      <vt:lpstr>sewerage!Print_Area</vt:lpstr>
      <vt:lpstr>swm!Print_Area</vt:lpstr>
      <vt:lpstr>water!Print_Area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2016-05-06T14:08:59Z</cp:lastPrinted>
  <dcterms:created xsi:type="dcterms:W3CDTF">2016-05-08T08:13:44Z</dcterms:created>
  <dcterms:modified xsi:type="dcterms:W3CDTF">2016-05-08T08:13:48Z</dcterms:modified>
</cp:coreProperties>
</file>